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bonent2008\users\R.Voitkevica\Desktop\"/>
    </mc:Choice>
  </mc:AlternateContent>
  <xr:revisionPtr revIDLastSave="0" documentId="13_ncr:1_{322180A0-6573-48CC-B964-697520308519}" xr6:coauthVersionLast="43" xr6:coauthVersionMax="43" xr10:uidLastSave="{00000000-0000-0000-0000-000000000000}"/>
  <bookViews>
    <workbookView xWindow="-120" yWindow="-120" windowWidth="29040" windowHeight="15840" xr2:uid="{3CEB884D-B94D-4E48-AF13-7511C2EE4CD2}"/>
  </bookViews>
  <sheets>
    <sheet name="Piel.Nr.1 izpilde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51" i="1" l="1"/>
  <c r="K151" i="1"/>
  <c r="G151" i="1"/>
  <c r="E151" i="1"/>
  <c r="E132" i="1" s="1"/>
  <c r="M150" i="1"/>
  <c r="L150" i="1"/>
  <c r="M149" i="1"/>
  <c r="L149" i="1"/>
  <c r="L148" i="1"/>
  <c r="G148" i="1"/>
  <c r="M148" i="1" s="1"/>
  <c r="M147" i="1"/>
  <c r="Q147" i="1" s="1"/>
  <c r="L147" i="1"/>
  <c r="M146" i="1"/>
  <c r="Q146" i="1" s="1"/>
  <c r="J146" i="1"/>
  <c r="J132" i="1" s="1"/>
  <c r="H146" i="1"/>
  <c r="F146" i="1"/>
  <c r="D146" i="1"/>
  <c r="L145" i="1"/>
  <c r="K145" i="1"/>
  <c r="M145" i="1" s="1"/>
  <c r="M144" i="1"/>
  <c r="Q144" i="1" s="1"/>
  <c r="L144" i="1"/>
  <c r="M143" i="1"/>
  <c r="L143" i="1"/>
  <c r="M142" i="1"/>
  <c r="L142" i="1"/>
  <c r="M141" i="1"/>
  <c r="P141" i="1" s="1"/>
  <c r="L141" i="1"/>
  <c r="M140" i="1"/>
  <c r="Q140" i="1" s="1"/>
  <c r="L140" i="1"/>
  <c r="M139" i="1"/>
  <c r="P139" i="1" s="1"/>
  <c r="L139" i="1"/>
  <c r="M138" i="1"/>
  <c r="Q138" i="1" s="1"/>
  <c r="H138" i="1"/>
  <c r="L138" i="1" s="1"/>
  <c r="F138" i="1"/>
  <c r="D138" i="1"/>
  <c r="M137" i="1"/>
  <c r="L137" i="1"/>
  <c r="M136" i="1"/>
  <c r="N136" i="1" s="1"/>
  <c r="L136" i="1"/>
  <c r="M135" i="1"/>
  <c r="P135" i="1" s="1"/>
  <c r="L135" i="1"/>
  <c r="M134" i="1"/>
  <c r="P134" i="1" s="1"/>
  <c r="L134" i="1"/>
  <c r="M133" i="1"/>
  <c r="Q133" i="1" s="1"/>
  <c r="L133" i="1"/>
  <c r="I132" i="1"/>
  <c r="G132" i="1"/>
  <c r="C132" i="1"/>
  <c r="M131" i="1"/>
  <c r="F131" i="1"/>
  <c r="L131" i="1" s="1"/>
  <c r="N131" i="1" s="1"/>
  <c r="P130" i="1"/>
  <c r="M129" i="1"/>
  <c r="Q129" i="1" s="1"/>
  <c r="J129" i="1"/>
  <c r="J128" i="1" s="1"/>
  <c r="H129" i="1"/>
  <c r="K128" i="1"/>
  <c r="I128" i="1"/>
  <c r="G128" i="1"/>
  <c r="E128" i="1"/>
  <c r="D128" i="1"/>
  <c r="C128" i="1"/>
  <c r="K127" i="1"/>
  <c r="J127" i="1"/>
  <c r="H127" i="1"/>
  <c r="F127" i="1"/>
  <c r="E127" i="1"/>
  <c r="M127" i="1" s="1"/>
  <c r="Q127" i="1" s="1"/>
  <c r="D127" i="1"/>
  <c r="M126" i="1"/>
  <c r="L126" i="1"/>
  <c r="P125" i="1"/>
  <c r="M125" i="1"/>
  <c r="Q125" i="1" s="1"/>
  <c r="L125" i="1"/>
  <c r="M124" i="1"/>
  <c r="Q124" i="1" s="1"/>
  <c r="L124" i="1"/>
  <c r="M122" i="1"/>
  <c r="Q122" i="1" s="1"/>
  <c r="L122" i="1"/>
  <c r="M121" i="1"/>
  <c r="K120" i="1"/>
  <c r="J120" i="1"/>
  <c r="I120" i="1"/>
  <c r="H120" i="1"/>
  <c r="G120" i="1"/>
  <c r="F120" i="1"/>
  <c r="E120" i="1"/>
  <c r="D120" i="1"/>
  <c r="C120" i="1"/>
  <c r="M119" i="1"/>
  <c r="N119" i="1" s="1"/>
  <c r="L119" i="1"/>
  <c r="M118" i="1"/>
  <c r="L118" i="1"/>
  <c r="M117" i="1"/>
  <c r="P117" i="1" s="1"/>
  <c r="L117" i="1"/>
  <c r="M113" i="1"/>
  <c r="Q113" i="1" s="1"/>
  <c r="L113" i="1"/>
  <c r="K112" i="1"/>
  <c r="J112" i="1"/>
  <c r="I112" i="1"/>
  <c r="H112" i="1"/>
  <c r="G112" i="1"/>
  <c r="F112" i="1"/>
  <c r="E112" i="1"/>
  <c r="D112" i="1"/>
  <c r="C112" i="1"/>
  <c r="M111" i="1"/>
  <c r="L111" i="1"/>
  <c r="M110" i="1"/>
  <c r="Q110" i="1" s="1"/>
  <c r="L110" i="1"/>
  <c r="N110" i="1" s="1"/>
  <c r="M109" i="1"/>
  <c r="L109" i="1"/>
  <c r="M108" i="1"/>
  <c r="Q108" i="1" s="1"/>
  <c r="J108" i="1"/>
  <c r="L108" i="1" s="1"/>
  <c r="O108" i="1" s="1"/>
  <c r="M107" i="1"/>
  <c r="P107" i="1" s="1"/>
  <c r="H107" i="1"/>
  <c r="L107" i="1" s="1"/>
  <c r="M106" i="1"/>
  <c r="J106" i="1"/>
  <c r="J98" i="1" s="1"/>
  <c r="H106" i="1"/>
  <c r="L106" i="1" s="1"/>
  <c r="Q105" i="1"/>
  <c r="M105" i="1"/>
  <c r="P105" i="1" s="1"/>
  <c r="L105" i="1"/>
  <c r="P104" i="1"/>
  <c r="M104" i="1"/>
  <c r="Q104" i="1" s="1"/>
  <c r="L104" i="1"/>
  <c r="M103" i="1"/>
  <c r="L103" i="1"/>
  <c r="M102" i="1"/>
  <c r="L102" i="1"/>
  <c r="M101" i="1"/>
  <c r="Q101" i="1" s="1"/>
  <c r="L101" i="1"/>
  <c r="M100" i="1"/>
  <c r="L100" i="1"/>
  <c r="M99" i="1"/>
  <c r="Q99" i="1" s="1"/>
  <c r="L99" i="1"/>
  <c r="K98" i="1"/>
  <c r="I98" i="1"/>
  <c r="G98" i="1"/>
  <c r="F98" i="1"/>
  <c r="E98" i="1"/>
  <c r="D98" i="1"/>
  <c r="C98" i="1"/>
  <c r="M97" i="1"/>
  <c r="L97" i="1"/>
  <c r="M96" i="1"/>
  <c r="P96" i="1" s="1"/>
  <c r="L96" i="1"/>
  <c r="M95" i="1"/>
  <c r="P95" i="1" s="1"/>
  <c r="L95" i="1"/>
  <c r="M94" i="1"/>
  <c r="P94" i="1" s="1"/>
  <c r="L94" i="1"/>
  <c r="M93" i="1"/>
  <c r="L93" i="1"/>
  <c r="M92" i="1"/>
  <c r="O92" i="1" s="1"/>
  <c r="L92" i="1"/>
  <c r="M91" i="1"/>
  <c r="O91" i="1" s="1"/>
  <c r="L91" i="1"/>
  <c r="M90" i="1"/>
  <c r="Q90" i="1" s="1"/>
  <c r="L90" i="1"/>
  <c r="L89" i="1"/>
  <c r="K89" i="1"/>
  <c r="G89" i="1"/>
  <c r="M88" i="1"/>
  <c r="Q88" i="1" s="1"/>
  <c r="L88" i="1"/>
  <c r="M87" i="1"/>
  <c r="L87" i="1"/>
  <c r="E87" i="1"/>
  <c r="P86" i="1"/>
  <c r="O86" i="1"/>
  <c r="M86" i="1"/>
  <c r="Q86" i="1" s="1"/>
  <c r="L86" i="1"/>
  <c r="M84" i="1"/>
  <c r="L84" i="1"/>
  <c r="M83" i="1"/>
  <c r="L83" i="1"/>
  <c r="N83" i="1" s="1"/>
  <c r="Q82" i="1"/>
  <c r="M82" i="1"/>
  <c r="P82" i="1" s="1"/>
  <c r="L82" i="1"/>
  <c r="M81" i="1"/>
  <c r="L81" i="1"/>
  <c r="M80" i="1"/>
  <c r="L80" i="1"/>
  <c r="M79" i="1"/>
  <c r="Q79" i="1" s="1"/>
  <c r="L79" i="1"/>
  <c r="P78" i="1"/>
  <c r="M78" i="1"/>
  <c r="L78" i="1"/>
  <c r="Q77" i="1"/>
  <c r="M77" i="1"/>
  <c r="P77" i="1" s="1"/>
  <c r="L77" i="1"/>
  <c r="M76" i="1"/>
  <c r="Q76" i="1" s="1"/>
  <c r="L76" i="1"/>
  <c r="M75" i="1"/>
  <c r="L75" i="1"/>
  <c r="M74" i="1"/>
  <c r="L74" i="1"/>
  <c r="M73" i="1"/>
  <c r="P73" i="1" s="1"/>
  <c r="L73" i="1"/>
  <c r="P72" i="1"/>
  <c r="M72" i="1"/>
  <c r="Q72" i="1" s="1"/>
  <c r="L72" i="1"/>
  <c r="M71" i="1"/>
  <c r="L71" i="1"/>
  <c r="M70" i="1"/>
  <c r="L70" i="1"/>
  <c r="M69" i="1"/>
  <c r="P69" i="1" s="1"/>
  <c r="L69" i="1"/>
  <c r="M68" i="1"/>
  <c r="L68" i="1"/>
  <c r="L67" i="1"/>
  <c r="E67" i="1"/>
  <c r="M66" i="1"/>
  <c r="L66" i="1"/>
  <c r="L65" i="1"/>
  <c r="K65" i="1"/>
  <c r="M65" i="1" s="1"/>
  <c r="M64" i="1"/>
  <c r="Q64" i="1" s="1"/>
  <c r="L64" i="1"/>
  <c r="M63" i="1"/>
  <c r="Q63" i="1" s="1"/>
  <c r="L63" i="1"/>
  <c r="M62" i="1"/>
  <c r="L62" i="1"/>
  <c r="J61" i="1"/>
  <c r="I61" i="1"/>
  <c r="H61" i="1"/>
  <c r="G61" i="1"/>
  <c r="F61" i="1"/>
  <c r="D61" i="1"/>
  <c r="C61" i="1"/>
  <c r="M60" i="1"/>
  <c r="L60" i="1"/>
  <c r="M59" i="1"/>
  <c r="P59" i="1" s="1"/>
  <c r="L59" i="1"/>
  <c r="M58" i="1"/>
  <c r="L58" i="1"/>
  <c r="M57" i="1"/>
  <c r="L57" i="1"/>
  <c r="M56" i="1"/>
  <c r="Q56" i="1" s="1"/>
  <c r="L56" i="1"/>
  <c r="M55" i="1"/>
  <c r="L55" i="1"/>
  <c r="K53" i="1"/>
  <c r="J53" i="1"/>
  <c r="I53" i="1"/>
  <c r="H53" i="1"/>
  <c r="G53" i="1"/>
  <c r="F53" i="1"/>
  <c r="E53" i="1"/>
  <c r="D53" i="1"/>
  <c r="C53" i="1"/>
  <c r="M52" i="1"/>
  <c r="L52" i="1"/>
  <c r="M51" i="1"/>
  <c r="P51" i="1" s="1"/>
  <c r="L51" i="1"/>
  <c r="L49" i="1" s="1"/>
  <c r="M50" i="1"/>
  <c r="L50" i="1"/>
  <c r="K49" i="1"/>
  <c r="J49" i="1"/>
  <c r="I49" i="1"/>
  <c r="H49" i="1"/>
  <c r="G49" i="1"/>
  <c r="F49" i="1"/>
  <c r="E49" i="1"/>
  <c r="D49" i="1"/>
  <c r="C49" i="1"/>
  <c r="M48" i="1"/>
  <c r="N48" i="1" s="1"/>
  <c r="L48" i="1"/>
  <c r="L47" i="1"/>
  <c r="I47" i="1"/>
  <c r="E47" i="1"/>
  <c r="M46" i="1"/>
  <c r="L46" i="1"/>
  <c r="M45" i="1"/>
  <c r="P45" i="1" s="1"/>
  <c r="L45" i="1"/>
  <c r="M44" i="1"/>
  <c r="P44" i="1" s="1"/>
  <c r="J44" i="1"/>
  <c r="J41" i="1" s="1"/>
  <c r="M43" i="1"/>
  <c r="L43" i="1"/>
  <c r="L42" i="1"/>
  <c r="K42" i="1"/>
  <c r="M42" i="1" s="1"/>
  <c r="O42" i="1" s="1"/>
  <c r="H41" i="1"/>
  <c r="G41" i="1"/>
  <c r="F41" i="1"/>
  <c r="E41" i="1"/>
  <c r="D41" i="1"/>
  <c r="C41" i="1"/>
  <c r="M39" i="1"/>
  <c r="P39" i="1" s="1"/>
  <c r="L39" i="1"/>
  <c r="E39" i="1"/>
  <c r="M38" i="1"/>
  <c r="N38" i="1" s="1"/>
  <c r="M37" i="1"/>
  <c r="L37" i="1"/>
  <c r="M36" i="1"/>
  <c r="Q36" i="1" s="1"/>
  <c r="L36" i="1"/>
  <c r="M35" i="1"/>
  <c r="L35" i="1"/>
  <c r="M34" i="1"/>
  <c r="Q34" i="1" s="1"/>
  <c r="L34" i="1"/>
  <c r="M33" i="1"/>
  <c r="P33" i="1" s="1"/>
  <c r="L33" i="1"/>
  <c r="P32" i="1"/>
  <c r="M31" i="1"/>
  <c r="P31" i="1" s="1"/>
  <c r="L31" i="1"/>
  <c r="P30" i="1"/>
  <c r="M30" i="1"/>
  <c r="O30" i="1" s="1"/>
  <c r="L30" i="1"/>
  <c r="M29" i="1"/>
  <c r="P29" i="1" s="1"/>
  <c r="L29" i="1"/>
  <c r="L28" i="1"/>
  <c r="E28" i="1"/>
  <c r="M28" i="1" s="1"/>
  <c r="P27" i="1"/>
  <c r="M27" i="1"/>
  <c r="Q27" i="1" s="1"/>
  <c r="L27" i="1"/>
  <c r="P25" i="1"/>
  <c r="M25" i="1"/>
  <c r="L25" i="1"/>
  <c r="M24" i="1"/>
  <c r="Q24" i="1" s="1"/>
  <c r="L24" i="1"/>
  <c r="K22" i="1"/>
  <c r="J22" i="1"/>
  <c r="I22" i="1"/>
  <c r="H22" i="1"/>
  <c r="G22" i="1"/>
  <c r="F22" i="1"/>
  <c r="D22" i="1"/>
  <c r="C22" i="1"/>
  <c r="M21" i="1"/>
  <c r="L21" i="1"/>
  <c r="M20" i="1"/>
  <c r="P20" i="1" s="1"/>
  <c r="L20" i="1"/>
  <c r="M19" i="1"/>
  <c r="O19" i="1" s="1"/>
  <c r="L19" i="1"/>
  <c r="M18" i="1"/>
  <c r="P18" i="1" s="1"/>
  <c r="L18" i="1"/>
  <c r="M17" i="1"/>
  <c r="L17" i="1"/>
  <c r="M15" i="1"/>
  <c r="P15" i="1" s="1"/>
  <c r="L15" i="1"/>
  <c r="P14" i="1"/>
  <c r="M14" i="1"/>
  <c r="L14" i="1"/>
  <c r="O14" i="1" s="1"/>
  <c r="M11" i="1"/>
  <c r="P11" i="1" s="1"/>
  <c r="M10" i="1"/>
  <c r="Q10" i="1" s="1"/>
  <c r="K10" i="1"/>
  <c r="I10" i="1"/>
  <c r="G10" i="1"/>
  <c r="E10" i="1"/>
  <c r="Q9" i="1"/>
  <c r="P9" i="1"/>
  <c r="K9" i="1"/>
  <c r="K11" i="1" s="1"/>
  <c r="I9" i="1"/>
  <c r="I11" i="1" s="1"/>
  <c r="G9" i="1"/>
  <c r="G11" i="1" s="1"/>
  <c r="E9" i="1"/>
  <c r="E11" i="1" s="1"/>
  <c r="Q8" i="1"/>
  <c r="P8" i="1"/>
  <c r="P24" i="1" l="1"/>
  <c r="O37" i="1"/>
  <c r="P76" i="1"/>
  <c r="P147" i="1"/>
  <c r="P19" i="1"/>
  <c r="O35" i="1"/>
  <c r="O36" i="1"/>
  <c r="L53" i="1"/>
  <c r="P64" i="1"/>
  <c r="N78" i="1"/>
  <c r="O79" i="1"/>
  <c r="N82" i="1"/>
  <c r="N86" i="1"/>
  <c r="M98" i="1"/>
  <c r="P144" i="1"/>
  <c r="D132" i="1"/>
  <c r="D40" i="1" s="1"/>
  <c r="D152" i="1" s="1"/>
  <c r="Q11" i="1"/>
  <c r="N36" i="1"/>
  <c r="O64" i="1"/>
  <c r="Q135" i="1"/>
  <c r="O142" i="1"/>
  <c r="L22" i="1"/>
  <c r="O27" i="1"/>
  <c r="P36" i="1"/>
  <c r="P79" i="1"/>
  <c r="M89" i="1"/>
  <c r="O107" i="1"/>
  <c r="P110" i="1"/>
  <c r="L112" i="1"/>
  <c r="Q117" i="1"/>
  <c r="P10" i="1"/>
  <c r="P35" i="1"/>
  <c r="Q74" i="1"/>
  <c r="P74" i="1"/>
  <c r="O74" i="1"/>
  <c r="N21" i="1"/>
  <c r="P21" i="1"/>
  <c r="O21" i="1"/>
  <c r="O24" i="1"/>
  <c r="Q55" i="1"/>
  <c r="P55" i="1"/>
  <c r="Q68" i="1"/>
  <c r="P68" i="1"/>
  <c r="P42" i="1"/>
  <c r="N70" i="1"/>
  <c r="N73" i="1"/>
  <c r="P91" i="1"/>
  <c r="Q91" i="1"/>
  <c r="P101" i="1"/>
  <c r="O101" i="1"/>
  <c r="K41" i="1"/>
  <c r="N46" i="1"/>
  <c r="P46" i="1"/>
  <c r="O46" i="1"/>
  <c r="Q51" i="1"/>
  <c r="O51" i="1"/>
  <c r="N51" i="1"/>
  <c r="P56" i="1"/>
  <c r="O56" i="1"/>
  <c r="N56" i="1"/>
  <c r="Q69" i="1"/>
  <c r="O69" i="1"/>
  <c r="N69" i="1"/>
  <c r="Q83" i="1"/>
  <c r="P83" i="1"/>
  <c r="O83" i="1"/>
  <c r="N17" i="1"/>
  <c r="P17" i="1"/>
  <c r="O17" i="1"/>
  <c r="P63" i="1"/>
  <c r="N63" i="1"/>
  <c r="P100" i="1"/>
  <c r="Q100" i="1"/>
  <c r="O100" i="1"/>
  <c r="P48" i="1"/>
  <c r="Q48" i="1"/>
  <c r="O48" i="1"/>
  <c r="Q71" i="1"/>
  <c r="P71" i="1"/>
  <c r="P93" i="1"/>
  <c r="N93" i="1"/>
  <c r="M47" i="1"/>
  <c r="O47" i="1" s="1"/>
  <c r="N74" i="1"/>
  <c r="Q92" i="1"/>
  <c r="P92" i="1"/>
  <c r="N102" i="1"/>
  <c r="O122" i="1"/>
  <c r="N124" i="1"/>
  <c r="P140" i="1"/>
  <c r="N141" i="1"/>
  <c r="P146" i="1"/>
  <c r="P108" i="1"/>
  <c r="P113" i="1"/>
  <c r="N117" i="1"/>
  <c r="M120" i="1"/>
  <c r="Q120" i="1" s="1"/>
  <c r="P122" i="1"/>
  <c r="P124" i="1"/>
  <c r="N125" i="1"/>
  <c r="F128" i="1"/>
  <c r="O134" i="1"/>
  <c r="O135" i="1"/>
  <c r="O141" i="1"/>
  <c r="N33" i="1"/>
  <c r="C40" i="1"/>
  <c r="G40" i="1"/>
  <c r="G152" i="1" s="1"/>
  <c r="O52" i="1"/>
  <c r="N59" i="1"/>
  <c r="N14" i="1"/>
  <c r="N19" i="1"/>
  <c r="N24" i="1"/>
  <c r="O25" i="1"/>
  <c r="N27" i="1"/>
  <c r="N30" i="1"/>
  <c r="O33" i="1"/>
  <c r="J40" i="1"/>
  <c r="J152" i="1" s="1"/>
  <c r="O59" i="1"/>
  <c r="N64" i="1"/>
  <c r="N79" i="1"/>
  <c r="Q107" i="1"/>
  <c r="O110" i="1"/>
  <c r="O117" i="1"/>
  <c r="O125" i="1"/>
  <c r="L127" i="1"/>
  <c r="O127" i="1" s="1"/>
  <c r="M128" i="1"/>
  <c r="Q128" i="1" s="1"/>
  <c r="P129" i="1"/>
  <c r="Q134" i="1"/>
  <c r="F132" i="1"/>
  <c r="F40" i="1" s="1"/>
  <c r="F152" i="1" s="1"/>
  <c r="P138" i="1"/>
  <c r="Q141" i="1"/>
  <c r="K132" i="1"/>
  <c r="N47" i="1"/>
  <c r="P47" i="1"/>
  <c r="N28" i="1"/>
  <c r="Q28" i="1"/>
  <c r="P28" i="1"/>
  <c r="M22" i="1"/>
  <c r="O28" i="1"/>
  <c r="P120" i="1"/>
  <c r="Q15" i="1"/>
  <c r="Q18" i="1"/>
  <c r="Q20" i="1"/>
  <c r="Q29" i="1"/>
  <c r="Q39" i="1"/>
  <c r="Q45" i="1"/>
  <c r="N57" i="1"/>
  <c r="Q57" i="1"/>
  <c r="P58" i="1"/>
  <c r="O58" i="1"/>
  <c r="P60" i="1"/>
  <c r="O60" i="1"/>
  <c r="P66" i="1"/>
  <c r="Q66" i="1"/>
  <c r="O66" i="1"/>
  <c r="O76" i="1"/>
  <c r="N76" i="1"/>
  <c r="O84" i="1"/>
  <c r="P84" i="1"/>
  <c r="N84" i="1"/>
  <c r="N87" i="1"/>
  <c r="Q87" i="1"/>
  <c r="P87" i="1"/>
  <c r="P89" i="1"/>
  <c r="Q89" i="1"/>
  <c r="O89" i="1"/>
  <c r="P98" i="1"/>
  <c r="Q98" i="1"/>
  <c r="O104" i="1"/>
  <c r="N104" i="1"/>
  <c r="H128" i="1"/>
  <c r="L129" i="1"/>
  <c r="L146" i="1"/>
  <c r="L132" i="1" s="1"/>
  <c r="N15" i="1"/>
  <c r="N18" i="1"/>
  <c r="N20" i="1"/>
  <c r="E22" i="1"/>
  <c r="Q25" i="1"/>
  <c r="N29" i="1"/>
  <c r="N31" i="1"/>
  <c r="N34" i="1"/>
  <c r="Q35" i="1"/>
  <c r="N39" i="1"/>
  <c r="Q42" i="1"/>
  <c r="L44" i="1"/>
  <c r="O44" i="1" s="1"/>
  <c r="N45" i="1"/>
  <c r="M49" i="1"/>
  <c r="N52" i="1"/>
  <c r="M53" i="1"/>
  <c r="O57" i="1"/>
  <c r="N58" i="1"/>
  <c r="N60" i="1"/>
  <c r="L61" i="1"/>
  <c r="N66" i="1"/>
  <c r="O71" i="1"/>
  <c r="N71" i="1"/>
  <c r="O80" i="1"/>
  <c r="Q80" i="1"/>
  <c r="P80" i="1"/>
  <c r="Q84" i="1"/>
  <c r="O87" i="1"/>
  <c r="N89" i="1"/>
  <c r="O109" i="1"/>
  <c r="P109" i="1"/>
  <c r="N109" i="1"/>
  <c r="O126" i="1"/>
  <c r="P126" i="1"/>
  <c r="N126" i="1"/>
  <c r="Q14" i="1"/>
  <c r="O15" i="1"/>
  <c r="Q17" i="1"/>
  <c r="O18" i="1"/>
  <c r="Q19" i="1"/>
  <c r="O20" i="1"/>
  <c r="Q21" i="1"/>
  <c r="N25" i="1"/>
  <c r="O29" i="1"/>
  <c r="Q30" i="1"/>
  <c r="O31" i="1"/>
  <c r="Q33" i="1"/>
  <c r="P34" i="1"/>
  <c r="N35" i="1"/>
  <c r="N37" i="1"/>
  <c r="O39" i="1"/>
  <c r="I41" i="1"/>
  <c r="I40" i="1" s="1"/>
  <c r="I152" i="1" s="1"/>
  <c r="N42" i="1"/>
  <c r="Q44" i="1"/>
  <c r="O45" i="1"/>
  <c r="Q46" i="1"/>
  <c r="P52" i="1"/>
  <c r="N55" i="1"/>
  <c r="P57" i="1"/>
  <c r="Q58" i="1"/>
  <c r="Q60" i="1"/>
  <c r="K61" i="1"/>
  <c r="P62" i="1"/>
  <c r="M67" i="1"/>
  <c r="E61" i="1"/>
  <c r="E40" i="1" s="1"/>
  <c r="O75" i="1"/>
  <c r="Q75" i="1"/>
  <c r="P75" i="1"/>
  <c r="N80" i="1"/>
  <c r="O97" i="1"/>
  <c r="Q97" i="1"/>
  <c r="P97" i="1"/>
  <c r="L98" i="1"/>
  <c r="N98" i="1" s="1"/>
  <c r="O103" i="1"/>
  <c r="Q103" i="1"/>
  <c r="P103" i="1"/>
  <c r="O106" i="1"/>
  <c r="P106" i="1"/>
  <c r="N106" i="1"/>
  <c r="N108" i="1"/>
  <c r="Q109" i="1"/>
  <c r="M112" i="1"/>
  <c r="N118" i="1"/>
  <c r="Q118" i="1"/>
  <c r="P118" i="1"/>
  <c r="L120" i="1"/>
  <c r="N120" i="1" s="1"/>
  <c r="N122" i="1"/>
  <c r="O131" i="1"/>
  <c r="N137" i="1"/>
  <c r="P137" i="1"/>
  <c r="O137" i="1"/>
  <c r="P143" i="1"/>
  <c r="O143" i="1"/>
  <c r="N143" i="1"/>
  <c r="O145" i="1"/>
  <c r="Q145" i="1"/>
  <c r="P145" i="1"/>
  <c r="C152" i="1"/>
  <c r="Q52" i="1"/>
  <c r="O55" i="1"/>
  <c r="O70" i="1"/>
  <c r="Q70" i="1"/>
  <c r="P70" i="1"/>
  <c r="N75" i="1"/>
  <c r="P88" i="1"/>
  <c r="O88" i="1"/>
  <c r="N88" i="1"/>
  <c r="N90" i="1"/>
  <c r="P90" i="1"/>
  <c r="O90" i="1"/>
  <c r="N97" i="1"/>
  <c r="N99" i="1"/>
  <c r="P99" i="1"/>
  <c r="O99" i="1"/>
  <c r="P102" i="1"/>
  <c r="O102" i="1"/>
  <c r="N103" i="1"/>
  <c r="Q106" i="1"/>
  <c r="O118" i="1"/>
  <c r="P127" i="1"/>
  <c r="N133" i="1"/>
  <c r="P133" i="1"/>
  <c r="O133" i="1"/>
  <c r="P136" i="1"/>
  <c r="Q136" i="1"/>
  <c r="O136" i="1"/>
  <c r="Q137" i="1"/>
  <c r="O138" i="1"/>
  <c r="N138" i="1"/>
  <c r="N142" i="1"/>
  <c r="Q142" i="1"/>
  <c r="P142" i="1"/>
  <c r="Q143" i="1"/>
  <c r="N145" i="1"/>
  <c r="Q59" i="1"/>
  <c r="O68" i="1"/>
  <c r="O72" i="1"/>
  <c r="O77" i="1"/>
  <c r="O105" i="1"/>
  <c r="H98" i="1"/>
  <c r="H40" i="1" s="1"/>
  <c r="H152" i="1" s="1"/>
  <c r="N113" i="1"/>
  <c r="O139" i="1"/>
  <c r="N140" i="1"/>
  <c r="N144" i="1"/>
  <c r="O147" i="1"/>
  <c r="N149" i="1"/>
  <c r="M151" i="1"/>
  <c r="O63" i="1"/>
  <c r="N68" i="1"/>
  <c r="N72" i="1"/>
  <c r="N77" i="1"/>
  <c r="O82" i="1"/>
  <c r="N91" i="1"/>
  <c r="N92" i="1"/>
  <c r="N100" i="1"/>
  <c r="N101" i="1"/>
  <c r="N105" i="1"/>
  <c r="N107" i="1"/>
  <c r="O113" i="1"/>
  <c r="O124" i="1"/>
  <c r="N134" i="1"/>
  <c r="N135" i="1"/>
  <c r="H132" i="1"/>
  <c r="N139" i="1"/>
  <c r="O140" i="1"/>
  <c r="O144" i="1"/>
  <c r="N147" i="1"/>
  <c r="P149" i="1"/>
  <c r="N127" i="1" l="1"/>
  <c r="N44" i="1"/>
  <c r="Q47" i="1"/>
  <c r="M41" i="1"/>
  <c r="Q41" i="1" s="1"/>
  <c r="O98" i="1"/>
  <c r="K40" i="1"/>
  <c r="K152" i="1" s="1"/>
  <c r="P128" i="1"/>
  <c r="P112" i="1"/>
  <c r="O112" i="1"/>
  <c r="N112" i="1"/>
  <c r="Q112" i="1"/>
  <c r="L128" i="1"/>
  <c r="N129" i="1"/>
  <c r="O129" i="1"/>
  <c r="O120" i="1"/>
  <c r="Q49" i="1"/>
  <c r="P49" i="1"/>
  <c r="O49" i="1"/>
  <c r="N49" i="1"/>
  <c r="O22" i="1"/>
  <c r="N22" i="1"/>
  <c r="Q22" i="1"/>
  <c r="P22" i="1"/>
  <c r="Q67" i="1"/>
  <c r="O67" i="1"/>
  <c r="N67" i="1"/>
  <c r="P67" i="1"/>
  <c r="O151" i="1"/>
  <c r="N151" i="1"/>
  <c r="P151" i="1"/>
  <c r="M132" i="1"/>
  <c r="M61" i="1"/>
  <c r="M40" i="1" s="1"/>
  <c r="P53" i="1"/>
  <c r="O53" i="1"/>
  <c r="N53" i="1"/>
  <c r="Q53" i="1"/>
  <c r="E152" i="1"/>
  <c r="O146" i="1"/>
  <c r="N146" i="1"/>
  <c r="L41" i="1"/>
  <c r="L40" i="1" l="1"/>
  <c r="L152" i="1" s="1"/>
  <c r="P41" i="1"/>
  <c r="Q40" i="1"/>
  <c r="P40" i="1"/>
  <c r="O40" i="1"/>
  <c r="N40" i="1"/>
  <c r="M152" i="1"/>
  <c r="P132" i="1"/>
  <c r="Q132" i="1"/>
  <c r="O132" i="1"/>
  <c r="N132" i="1"/>
  <c r="O41" i="1"/>
  <c r="N41" i="1"/>
  <c r="Q61" i="1"/>
  <c r="P61" i="1"/>
  <c r="N61" i="1"/>
  <c r="O61" i="1"/>
  <c r="O128" i="1"/>
  <c r="N128" i="1"/>
  <c r="O152" i="1" l="1"/>
  <c r="Q152" i="1"/>
  <c r="P152" i="1"/>
  <c r="N1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Romualda Voitkevica</author>
  </authors>
  <commentList>
    <comment ref="I9" authorId="0" shapeId="0" xr:uid="{5BDC3002-B66A-48E5-B6F0-A1E5E6838954}">
      <text>
        <r>
          <rPr>
            <b/>
            <sz val="9"/>
            <color indexed="81"/>
            <rFont val="Tahoma"/>
            <family val="2"/>
            <charset val="186"/>
          </rPr>
          <t>Romualda Voitkevica:</t>
        </r>
        <r>
          <rPr>
            <sz val="9"/>
            <color indexed="81"/>
            <rFont val="Tahoma"/>
            <family val="2"/>
            <charset val="186"/>
          </rPr>
          <t xml:space="preserve">
Augustā bija sekretāru maiņa un Borovska vietā pārgaja Juhņeviča, ievesta personāla inspektore N. Golovane</t>
        </r>
      </text>
    </comment>
    <comment ref="K9" authorId="0" shapeId="0" xr:uid="{C6CF0D6D-68CB-4B7A-8BAB-359775DA15F1}">
      <text>
        <r>
          <rPr>
            <b/>
            <sz val="9"/>
            <color indexed="81"/>
            <rFont val="Tahoma"/>
            <family val="2"/>
            <charset val="186"/>
          </rPr>
          <t>Romualda Voitkevica:</t>
        </r>
        <r>
          <rPr>
            <sz val="9"/>
            <color indexed="81"/>
            <rFont val="Tahoma"/>
            <family val="2"/>
            <charset val="186"/>
          </rPr>
          <t xml:space="preserve">
Daudzums papildināts ar:
teh direktora vietnieku
 - Stašuns.  Notika sekretāres maiņa.</t>
        </r>
      </text>
    </comment>
    <comment ref="E42" authorId="0" shapeId="0" xr:uid="{A33AEC10-DF17-46C8-9230-ECECA4F67F00}">
      <text>
        <r>
          <rPr>
            <b/>
            <sz val="9"/>
            <color indexed="81"/>
            <rFont val="Tahoma"/>
            <family val="2"/>
            <charset val="186"/>
          </rPr>
          <t>Romualda Voitkevica:</t>
        </r>
        <r>
          <rPr>
            <sz val="9"/>
            <color indexed="81"/>
            <rFont val="Tahoma"/>
            <family val="2"/>
            <charset val="186"/>
          </rPr>
          <t xml:space="preserve">
t.sk pabalsts atvalinājumiem-2,4 tūkst. EUR</t>
        </r>
      </text>
    </comment>
    <comment ref="G42" authorId="0" shapeId="0" xr:uid="{15A81EDA-27EB-4B07-9A29-3DB3905BB071}">
      <text>
        <r>
          <rPr>
            <b/>
            <sz val="9"/>
            <color indexed="81"/>
            <rFont val="Tahoma"/>
            <family val="2"/>
            <charset val="186"/>
          </rPr>
          <t>Romualda Voitkevica:</t>
        </r>
        <r>
          <rPr>
            <sz val="9"/>
            <color indexed="81"/>
            <rFont val="Tahoma"/>
            <family val="2"/>
            <charset val="186"/>
          </rPr>
          <t xml:space="preserve">
t.sk pabalsts atvalinājumiem-29,9 tūkst. EUR</t>
        </r>
      </text>
    </comment>
    <comment ref="I42" authorId="0" shapeId="0" xr:uid="{2BD4D3EE-CC1C-450E-9EF1-53C8EEF12E5B}">
      <text>
        <r>
          <rPr>
            <b/>
            <sz val="9"/>
            <color indexed="81"/>
            <rFont val="Tahoma"/>
            <family val="2"/>
            <charset val="186"/>
          </rPr>
          <t>Romualda Voitkevica:</t>
        </r>
        <r>
          <rPr>
            <sz val="9"/>
            <color indexed="81"/>
            <rFont val="Tahoma"/>
            <family val="2"/>
            <charset val="186"/>
          </rPr>
          <t xml:space="preserve">
t.sk atvalinājumu pabalsts 34 tūkst.EUR</t>
        </r>
      </text>
    </comment>
    <comment ref="I96" authorId="0" shapeId="0" xr:uid="{CC0569A2-5E58-4441-8050-9764D4EE39F8}">
      <text>
        <r>
          <rPr>
            <b/>
            <sz val="9"/>
            <color indexed="81"/>
            <rFont val="Tahoma"/>
            <family val="2"/>
            <charset val="186"/>
          </rPr>
          <t>Romualda Voitkevica:</t>
        </r>
        <r>
          <rPr>
            <sz val="9"/>
            <color indexed="81"/>
            <rFont val="Tahoma"/>
            <family val="2"/>
            <charset val="186"/>
          </rPr>
          <t xml:space="preserve">
topografisko materiālu izgatavošana</t>
        </r>
      </text>
    </comment>
    <comment ref="G151" authorId="0" shapeId="0" xr:uid="{3541BEAA-DDC9-401A-AFCF-375D02A245C5}">
      <text>
        <r>
          <rPr>
            <b/>
            <sz val="9"/>
            <color indexed="81"/>
            <rFont val="Tahoma"/>
            <family val="2"/>
            <charset val="186"/>
          </rPr>
          <t>Romualda Voitkevica:</t>
        </r>
        <r>
          <rPr>
            <sz val="9"/>
            <color indexed="81"/>
            <rFont val="Tahoma"/>
            <family val="2"/>
            <charset val="186"/>
          </rPr>
          <t xml:space="preserve">
Tai skaitā:
17216,11-noņemta kļudaini aprēķināta soda nauda Ditton Nams;
1300 - pabalsts Pučinska nāves gadījuma.
</t>
        </r>
      </text>
    </comment>
    <comment ref="I151" authorId="0" shapeId="0" xr:uid="{E2ADDF11-1428-40E7-A10C-D4C20BE13E9C}">
      <text>
        <r>
          <rPr>
            <b/>
            <sz val="9"/>
            <color indexed="81"/>
            <rFont val="Tahoma"/>
            <family val="2"/>
            <charset val="186"/>
          </rPr>
          <t>Romualda Voitkevica:</t>
        </r>
        <r>
          <rPr>
            <sz val="9"/>
            <color indexed="81"/>
            <rFont val="Tahoma"/>
            <family val="2"/>
            <charset val="186"/>
          </rPr>
          <t xml:space="preserve">
t.sk 2600 -energosertifikāta izstrādāšana</t>
        </r>
      </text>
    </comment>
    <comment ref="K151" authorId="0" shapeId="0" xr:uid="{BA7E601B-89D0-4A18-9B75-F3E322FACCC3}">
      <text>
        <r>
          <rPr>
            <b/>
            <sz val="9"/>
            <color indexed="81"/>
            <rFont val="Tahoma"/>
            <family val="2"/>
            <charset val="186"/>
          </rPr>
          <t>Romualda Voitkevica:</t>
        </r>
        <r>
          <rPr>
            <sz val="9"/>
            <color indexed="81"/>
            <rFont val="Tahoma"/>
            <family val="2"/>
            <charset val="186"/>
          </rPr>
          <t xml:space="preserve">
t.sk.354482,99 EUR - uzkrājumi p/l SC1 turbīnai, 4474 - uzkrājumi atvalinājumiem</t>
        </r>
      </text>
    </comment>
  </commentList>
</comments>
</file>

<file path=xl/sharedStrings.xml><?xml version="1.0" encoding="utf-8"?>
<sst xmlns="http://schemas.openxmlformats.org/spreadsheetml/2006/main" count="302" uniqueCount="280">
  <si>
    <t>PAS "DAUGAVPILS SILTUMTĪKLI"</t>
  </si>
  <si>
    <t>Pielikums Nr.1</t>
  </si>
  <si>
    <t>2017. gada budžeta plāna  izpilde.</t>
  </si>
  <si>
    <t>tūkst.EUR</t>
  </si>
  <si>
    <t>N.p.k.</t>
  </si>
  <si>
    <t>Plāna rādītāji</t>
  </si>
  <si>
    <t>2016.gada attiecīgais periods</t>
  </si>
  <si>
    <t>2017. gada izpilde</t>
  </si>
  <si>
    <t>Periods kopā
 (gads)</t>
  </si>
  <si>
    <t xml:space="preserve">Novirze no  plāna
 </t>
  </si>
  <si>
    <r>
      <t xml:space="preserve">Novirze no 2016.gada </t>
    </r>
    <r>
      <rPr>
        <sz val="10"/>
        <rFont val="Arial"/>
        <family val="1"/>
        <charset val="186"/>
      </rPr>
      <t>attiecīgā perioda</t>
    </r>
  </si>
  <si>
    <t>I ceturksnis</t>
  </si>
  <si>
    <t>II cet.</t>
  </si>
  <si>
    <t>III cet.</t>
  </si>
  <si>
    <t>IV cet.</t>
  </si>
  <si>
    <t>EUR/MWh/   skaits</t>
  </si>
  <si>
    <t>%</t>
  </si>
  <si>
    <t>gads</t>
  </si>
  <si>
    <t>plāns</t>
  </si>
  <si>
    <t>izpilde</t>
  </si>
  <si>
    <t>Štata vienību skaits</t>
  </si>
  <si>
    <t>Faktiski strādājošo skaits kopā</t>
  </si>
  <si>
    <t>Administrācijas darbinieku skaits</t>
  </si>
  <si>
    <t>Vidējā darba alga</t>
  </si>
  <si>
    <t>Vidējā darba alga administrācijai*</t>
  </si>
  <si>
    <t>1.</t>
  </si>
  <si>
    <t>Nefinanšu rādītāji (paveiktais / plānotais darba apjoms): *</t>
  </si>
  <si>
    <t>No pamatdarbības / deleģēšanas līguma izpildes</t>
  </si>
  <si>
    <t>1.1.</t>
  </si>
  <si>
    <r>
      <t xml:space="preserve">Siltumenerģijas realizācija lietotājiem (MWh) </t>
    </r>
    <r>
      <rPr>
        <sz val="8"/>
        <rFont val="Arial"/>
        <family val="1"/>
        <charset val="186"/>
      </rPr>
      <t>(izslēgta realizācija admin. un saimniec. uzņēmuma ēkām)</t>
    </r>
  </si>
  <si>
    <t>1.2.</t>
  </si>
  <si>
    <t>Elektroenerģijas pārdošana (MWh)</t>
  </si>
  <si>
    <t>Maksas pakalpojumi</t>
  </si>
  <si>
    <t>1.3.</t>
  </si>
  <si>
    <t>Siltumenerģijas sadale (skaits)</t>
  </si>
  <si>
    <t>1.4.</t>
  </si>
  <si>
    <t>Īpašuma noma (skaits)</t>
  </si>
  <si>
    <t>1.5.</t>
  </si>
  <si>
    <t>Citu siltumenerģijas ražotāju katlumāju apsaimniekošana (skaits)</t>
  </si>
  <si>
    <t>1.6.</t>
  </si>
  <si>
    <t>Izziņu izsniegšana (skaits)</t>
  </si>
  <si>
    <t>1.7.</t>
  </si>
  <si>
    <t>Dokumentu pavairošana (skaits)</t>
  </si>
  <si>
    <t>2.</t>
  </si>
  <si>
    <r>
      <t>IEŅĒMUMU kopsumma, t.sk.:</t>
    </r>
    <r>
      <rPr>
        <sz val="10"/>
        <rFont val="Arial"/>
        <family val="1"/>
        <charset val="186"/>
      </rPr>
      <t xml:space="preserve"> **</t>
    </r>
  </si>
  <si>
    <t>2.1.</t>
  </si>
  <si>
    <t>No siltumenerģijas realizācijas</t>
  </si>
  <si>
    <t>No elektroenerģijas pārdošanas</t>
  </si>
  <si>
    <t>2.2.</t>
  </si>
  <si>
    <t>Siltumenerģijas sadale</t>
  </si>
  <si>
    <t xml:space="preserve">Īpašuma noma </t>
  </si>
  <si>
    <t xml:space="preserve">Citu siltumenerģijas ražotāju katlumāju apsaimniekošana </t>
  </si>
  <si>
    <t xml:space="preserve">Izziņu izsniegšana </t>
  </si>
  <si>
    <t xml:space="preserve">Dokumentu pavairošana </t>
  </si>
  <si>
    <t>2.3.</t>
  </si>
  <si>
    <t>Pārējie ieņēmumi</t>
  </si>
  <si>
    <t>Atgrieztie izdevumi</t>
  </si>
  <si>
    <t>Materiālu realizācija</t>
  </si>
  <si>
    <t>Soda nauda</t>
  </si>
  <si>
    <t>Ieņēmumi no uzkrājumiem par s/e</t>
  </si>
  <si>
    <t>Nākamo periodu ieņēmumi no ERAF</t>
  </si>
  <si>
    <t>Atliktais nodoklis</t>
  </si>
  <si>
    <t>Citi ieņēmumi</t>
  </si>
  <si>
    <t>3.</t>
  </si>
  <si>
    <r>
      <t xml:space="preserve">IZDEVUMU kopsumma, t.sk.: </t>
    </r>
    <r>
      <rPr>
        <sz val="10"/>
        <rFont val="Arial"/>
        <family val="1"/>
        <charset val="186"/>
      </rPr>
      <t>***</t>
    </r>
  </si>
  <si>
    <t>3.1.</t>
  </si>
  <si>
    <t>Personāla izmaksas kopā, tai skaitā</t>
  </si>
  <si>
    <t>3.1.1.</t>
  </si>
  <si>
    <t>Darba alga</t>
  </si>
  <si>
    <t>3.1.2.</t>
  </si>
  <si>
    <t>Piemaksas un prēmijas</t>
  </si>
  <si>
    <t>3.1.3.</t>
  </si>
  <si>
    <t>Darba devēja valsts sociālās apdrošināšanas obligātās iemaksas</t>
  </si>
  <si>
    <t>3.1.4.</t>
  </si>
  <si>
    <t>Darba devēja izdevumi veselības, dzīvības un nelaimes gadījumu apdrošināšanai</t>
  </si>
  <si>
    <t>3.1.5.</t>
  </si>
  <si>
    <t>Valsts riska nodeva par darbiniekiem</t>
  </si>
  <si>
    <t>3.1.6.</t>
  </si>
  <si>
    <t>Mācību maksas kompensācija</t>
  </si>
  <si>
    <t>3.1.7.</t>
  </si>
  <si>
    <t>Periodiskā medicinska apskate</t>
  </si>
  <si>
    <t>3.2.</t>
  </si>
  <si>
    <t>Pakalpojumi</t>
  </si>
  <si>
    <t>3.2.1.</t>
  </si>
  <si>
    <t>Izdevumi par apkuri</t>
  </si>
  <si>
    <t>3.2.2.</t>
  </si>
  <si>
    <t>Izdevumi par ūdeni un kanalizāciju</t>
  </si>
  <si>
    <t>3.2.3.</t>
  </si>
  <si>
    <t>Izdevumi par elektronerģiju</t>
  </si>
  <si>
    <t>3.3.</t>
  </si>
  <si>
    <t>Materiāli un izejvielas kopā, tai skaitā:</t>
  </si>
  <si>
    <t>Energoresursi jeb enerģetiskie materiāli</t>
  </si>
  <si>
    <t>3.3.1.</t>
  </si>
  <si>
    <t>Kurināmais</t>
  </si>
  <si>
    <t>3.3.2.</t>
  </si>
  <si>
    <t>Iepirktā siltumenerģija</t>
  </si>
  <si>
    <t>3.3.3.</t>
  </si>
  <si>
    <t>Degviela</t>
  </si>
  <si>
    <t>3.3.4.</t>
  </si>
  <si>
    <t>Smērvielas</t>
  </si>
  <si>
    <t>3.3.5.</t>
  </si>
  <si>
    <r>
      <t>Materiāli (t.sk. materiāli, rezerves daļas, mazvertīg. inventārs),</t>
    </r>
    <r>
      <rPr>
        <sz val="8"/>
        <rFont val="Arial"/>
        <family val="1"/>
        <charset val="186"/>
      </rPr>
      <t xml:space="preserve"> 
ņemot vērā korekciju sakarā ar  materiālu pārdošanas no noliktavas.</t>
    </r>
  </si>
  <si>
    <t>3.4.</t>
  </si>
  <si>
    <t xml:space="preserve">Tekošais remonts, administratīvo ēku un telpu uzturēšana </t>
  </si>
  <si>
    <t>3.5.</t>
  </si>
  <si>
    <t>Administratīvie pārējie izdevumi kopā, t.sk:</t>
  </si>
  <si>
    <t>3.5.1.</t>
  </si>
  <si>
    <t>Iekšējo kolektīvo pasākumu organizēšanas izdevumi</t>
  </si>
  <si>
    <t>3.5.2.</t>
  </si>
  <si>
    <t>Kursi, seminari</t>
  </si>
  <si>
    <t>3.5.3.</t>
  </si>
  <si>
    <t>Komandējumi un dienesta braucieni</t>
  </si>
  <si>
    <t>3.5.4.</t>
  </si>
  <si>
    <t>Gada pārskata un revīzijas izdevumi</t>
  </si>
  <si>
    <t>3.5.5.</t>
  </si>
  <si>
    <t>Juridiskie pakalpojumi</t>
  </si>
  <si>
    <t>3.5.6.</t>
  </si>
  <si>
    <t>Bankas pakalpojumi (kontu apkalp.)</t>
  </si>
  <si>
    <t>3.5.7.</t>
  </si>
  <si>
    <t>Informācijas sistēmu uzturēšanas izdevumi</t>
  </si>
  <si>
    <t>3.5.8.</t>
  </si>
  <si>
    <t>Apdrošināšanas izdevumi (pamatlīdzekļu)</t>
  </si>
  <si>
    <t>3.5.9.</t>
  </si>
  <si>
    <t>Iekārtas, inventāra un aparatūras remonts, tehniskā apkalpošana</t>
  </si>
  <si>
    <t>3.5.10.</t>
  </si>
  <si>
    <t>Zemes noma</t>
  </si>
  <si>
    <t>3.5.11.</t>
  </si>
  <si>
    <t>Nemateriālo ieguldījumu nolietojums</t>
  </si>
  <si>
    <t>3.5.12.</t>
  </si>
  <si>
    <t>Kredītu noformēšana</t>
  </si>
  <si>
    <t>3.5.13.</t>
  </si>
  <si>
    <t>Pasta, telefona un citi sakaru pakalpojumi</t>
  </si>
  <si>
    <t>3.5.14.</t>
  </si>
  <si>
    <t>Apsardze, atkritumu izvešana, dezinfekcija</t>
  </si>
  <si>
    <t>3.5.15.</t>
  </si>
  <si>
    <t>Ūgunsdrošības iekārtu uzraudzība un ugunsdz. aparātu pārbaude</t>
  </si>
  <si>
    <t>3.5.16.</t>
  </si>
  <si>
    <t>Masmediju pakalpojumi un reklāmas izdevumi</t>
  </si>
  <si>
    <t>3.5.17.</t>
  </si>
  <si>
    <t>Darba aizsardzības pakalpojumi</t>
  </si>
  <si>
    <t>3.5.18.</t>
  </si>
  <si>
    <t>Normatīvas likumdošanas dokumenti</t>
  </si>
  <si>
    <t>3.5.19.</t>
  </si>
  <si>
    <t xml:space="preserve">Siltumuzņēmumu asociācijas dalibnieka maksa </t>
  </si>
  <si>
    <t>3.5.20.</t>
  </si>
  <si>
    <t>Arhivēšana</t>
  </si>
  <si>
    <t>3.5.21.</t>
  </si>
  <si>
    <t>Brilles</t>
  </si>
  <si>
    <t>3.5.22.</t>
  </si>
  <si>
    <t>Daugavpils direktoru biedrības dalibnieka maksājumi</t>
  </si>
  <si>
    <t>3.5.23.</t>
  </si>
  <si>
    <t>Pārējie (Venden, pāklaju maiņa…..)</t>
  </si>
  <si>
    <t>3.6.</t>
  </si>
  <si>
    <t>Reprezentācijas izdevumi</t>
  </si>
  <si>
    <t>3.7.</t>
  </si>
  <si>
    <t>3.8.</t>
  </si>
  <si>
    <t>Elektro un datortehnikas apkalpošana</t>
  </si>
  <si>
    <t>3.9.</t>
  </si>
  <si>
    <t>Tiesāšanas izdevumi, valsts nodeva</t>
  </si>
  <si>
    <t>3.10.</t>
  </si>
  <si>
    <r>
      <t>Bankas pakalpojumi (</t>
    </r>
    <r>
      <rPr>
        <sz val="10"/>
        <rFont val="Arial"/>
        <family val="1"/>
        <charset val="186"/>
      </rPr>
      <t>kontu apkalp., maksas par pārskaitījumu veikšanu, komisijas maksas par s/enerģ.rēķinu pieņemšanu</t>
    </r>
    <r>
      <rPr>
        <sz val="10"/>
        <rFont val="Arial"/>
        <family val="1"/>
        <charset val="186"/>
      </rPr>
      <t>)</t>
    </r>
  </si>
  <si>
    <t>3.11.</t>
  </si>
  <si>
    <t>Klientu nodaļas datorprogrammas uzturēš. un apkalpoš.</t>
  </si>
  <si>
    <t>3.12.</t>
  </si>
  <si>
    <t>Pamatlīdzekļu un transporta apdrošināšana</t>
  </si>
  <si>
    <t>3.13.</t>
  </si>
  <si>
    <t>Projekti, tehniskie noteikumi</t>
  </si>
  <si>
    <t>3.14.</t>
  </si>
  <si>
    <t>Siltumefekta gāzu emisijas pārskata pārbaude</t>
  </si>
  <si>
    <t>3.15.</t>
  </si>
  <si>
    <t>Koģenerāciju staciju gada pārskatu revidenta pārbaude</t>
  </si>
  <si>
    <t>3.16.</t>
  </si>
  <si>
    <t>Īpašuma noformēšanas izdevumi (novertējums, aktu sastadīš.)</t>
  </si>
  <si>
    <t>3.17.</t>
  </si>
  <si>
    <t>Specapģērbi</t>
  </si>
  <si>
    <t>3.18.</t>
  </si>
  <si>
    <t>Ražošanas iekārtu uzturēšanas pakalpojumi kopā, t.sk.:</t>
  </si>
  <si>
    <t>3.18.1.</t>
  </si>
  <si>
    <t>Transportlīdzekļu uzturēšana un remonts</t>
  </si>
  <si>
    <t>3.18.2.</t>
  </si>
  <si>
    <t>3.18.3.</t>
  </si>
  <si>
    <t>Bīstamo iekārtu pārbaude</t>
  </si>
  <si>
    <t>3.18.4.</t>
  </si>
  <si>
    <t>Pazemes ūdens monitorings</t>
  </si>
  <si>
    <t>3.18.5.</t>
  </si>
  <si>
    <t>Dzelzceļa ekspluatācija</t>
  </si>
  <si>
    <t>3.18.6.</t>
  </si>
  <si>
    <t>Gaisa gāzu sastāva pārbaude</t>
  </si>
  <si>
    <t>3.18.7.</t>
  </si>
  <si>
    <t>Mērierīču kalibrēšana/verificēšana</t>
  </si>
  <si>
    <t>3.18.8.</t>
  </si>
  <si>
    <t>LK5 (Ruģeļi) koģenerācijas iekārtas tehniskā apkalpošana</t>
  </si>
  <si>
    <t>3.18.9.</t>
  </si>
  <si>
    <t>LK6 (Čerepova) koģenerācijas iekārtas tehniskā apkalpošana</t>
  </si>
  <si>
    <t>3.18.10.</t>
  </si>
  <si>
    <t>LK7 (Vecstropi) koģenerācijas iekārtas tehniskā apkalpošana</t>
  </si>
  <si>
    <t>3.18.11.</t>
  </si>
  <si>
    <t>LK8 (Stropi) k/m tehniskā apkalpošana</t>
  </si>
  <si>
    <t>3.18.12.</t>
  </si>
  <si>
    <t>LK10 (Fabrikas) k/m tehniskā apkalpošana</t>
  </si>
  <si>
    <t>3.18.13.</t>
  </si>
  <si>
    <t>SC2 piesārņotās teritorijas sanācijas veikšanas izpete</t>
  </si>
  <si>
    <t>3.19.</t>
  </si>
  <si>
    <t>Īre un noma kopā, t.sk.:</t>
  </si>
  <si>
    <t>3.19.1.</t>
  </si>
  <si>
    <t>Ēku, telpu īre un noma (k/m Cēsu,18.nov.321,Ģimnāzijas 3)</t>
  </si>
  <si>
    <t>3.19.2.</t>
  </si>
  <si>
    <t>3.19.3.</t>
  </si>
  <si>
    <t>Transportlīdzekļu noma</t>
  </si>
  <si>
    <t>3.19.4.</t>
  </si>
  <si>
    <t xml:space="preserve">Iekārtu un inv. noma, t.sk.: </t>
  </si>
  <si>
    <t>3.19.5.</t>
  </si>
  <si>
    <t>Dūmgāzu utilizācijas iekārtu (KTAN) noma, SC1 18.nov.2</t>
  </si>
  <si>
    <t>3.19.6.</t>
  </si>
  <si>
    <t>Koģeņerācijas stacijas noma, LK1 Cietoksnis</t>
  </si>
  <si>
    <t>3.19.7.</t>
  </si>
  <si>
    <t>Dūmgāzu utilizācijas iekārtu  (ekanomaizeris) noma, LK1 Cietoksnis</t>
  </si>
  <si>
    <t>3.20.</t>
  </si>
  <si>
    <t>Nodokļu maksājumi kopā, t sk.:</t>
  </si>
  <si>
    <t>3.20.1.</t>
  </si>
  <si>
    <t>PVN</t>
  </si>
  <si>
    <t>3.20.2.</t>
  </si>
  <si>
    <t>NĪN</t>
  </si>
  <si>
    <t>3.20.3.</t>
  </si>
  <si>
    <t>IIN</t>
  </si>
  <si>
    <t>3.20.4.</t>
  </si>
  <si>
    <t>DRN</t>
  </si>
  <si>
    <t>3.20.5.</t>
  </si>
  <si>
    <t>UIN</t>
  </si>
  <si>
    <t>3.20.6.</t>
  </si>
  <si>
    <t>Pārejie nodokļi un nodevas</t>
  </si>
  <si>
    <t>3.21.</t>
  </si>
  <si>
    <t>Pamatlīdzekļu un citu ieguldījumu vērtības nolietojums</t>
  </si>
  <si>
    <t>3.22.</t>
  </si>
  <si>
    <t>Norēķini par prasībām kopā, t.sk.:</t>
  </si>
  <si>
    <t>3.22.1.</t>
  </si>
  <si>
    <t>Aizņēmumu un līzinga procentu maksājumi</t>
  </si>
  <si>
    <t>3.22.2.</t>
  </si>
  <si>
    <t>Samaksātās soda naudas un līgumsodi</t>
  </si>
  <si>
    <t>3.22.3.</t>
  </si>
  <si>
    <t>3.23.</t>
  </si>
  <si>
    <t>Pārējie saimnieciskās darbības izdevumi kopā,  t.sk.:</t>
  </si>
  <si>
    <t>3.23.1.</t>
  </si>
  <si>
    <t>3.23.2.</t>
  </si>
  <si>
    <t>Objektu fiziskā, tehniskā apsardze un videonovērošana</t>
  </si>
  <si>
    <t>3.23.3.</t>
  </si>
  <si>
    <t>Atkritumu izvešana</t>
  </si>
  <si>
    <t>3.23.4.</t>
  </si>
  <si>
    <t>Dezinfekcija</t>
  </si>
  <si>
    <t>3.23.5.</t>
  </si>
  <si>
    <t>Hidroloģiskie meteoroloģiskie pakalpojumi</t>
  </si>
  <si>
    <t>3.23.6.</t>
  </si>
  <si>
    <t>3.23.7.</t>
  </si>
  <si>
    <t>3.23.8.</t>
  </si>
  <si>
    <t>3.23.9.</t>
  </si>
  <si>
    <t>3.23.10.</t>
  </si>
  <si>
    <t>Valsts nodeva par SPRK regulēšanu</t>
  </si>
  <si>
    <t>3.23.11.</t>
  </si>
  <si>
    <t>3.23.12.</t>
  </si>
  <si>
    <t>Nākamo periodu izdevumi no pieslēguma</t>
  </si>
  <si>
    <t>3.23.13.</t>
  </si>
  <si>
    <t>Uzkrājumi nedroš. Debitoriem un un bezcerīgo parādu norakstīšana</t>
  </si>
  <si>
    <t>3.23.14.</t>
  </si>
  <si>
    <t>Ražošanas izdevumi, nesaistītie ar uzņemuma pamatdarbību (nomnieku elektroenerģijas, ūdens un kanalizācijas izdevumi, materiālu realizācija)</t>
  </si>
  <si>
    <t>3.23.15.</t>
  </si>
  <si>
    <t>Nederīgo skaitītāju atlikusī vērtība</t>
  </si>
  <si>
    <t>3.23.16.</t>
  </si>
  <si>
    <t>Par "A" vai "B" kategorijas piešķiršanu piesārņojošai darbībai</t>
  </si>
  <si>
    <t>3.23.17.</t>
  </si>
  <si>
    <t>D-pils pilsētas apvienotās siltumapgādes sistēmas SC1,SC2,SC3 siltuma avotu, siltumtīklu hidraulisko darba režīmu izstrāde</t>
  </si>
  <si>
    <t>3.23.18.</t>
  </si>
  <si>
    <t>Zaudējumi no valūtas operācijas</t>
  </si>
  <si>
    <t>3.23.19.</t>
  </si>
  <si>
    <t xml:space="preserve">Pārējie </t>
  </si>
  <si>
    <t>4.</t>
  </si>
  <si>
    <t>REZULTĀTS:  P/Z pēc nodokļu nomaksas</t>
  </si>
  <si>
    <t>Valdes loceklis                                    A.Kuzņecovs</t>
  </si>
  <si>
    <t>ŠIS DOKUMENTS IR ELEKTRONISKI PARAKSTĪTS AR DROŠU ELEKTRONISKO PARAKSTU UN SATUR LAIKA ZĪMOGU</t>
  </si>
  <si>
    <t xml:space="preserve">R. Voitkeviča, 65407539, </t>
  </si>
  <si>
    <t>Voitkevica.dsiltumtikli@apollo.lv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</si>
</sst>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0"/>
      <name val="Arial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b/>
      <sz val="16"/>
      <name val="Times New Roman"/>
      <family val="1"/>
      <charset val="186"/>
    </font>
    <font>
      <sz val="10"/>
      <name val="Arial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color theme="0" tint="-0.249977111117893"/>
      <name val="Times New Roman"/>
      <family val="1"/>
      <charset val="186"/>
    </font>
    <font>
      <sz val="12"/>
      <color theme="0" tint="-0.24997711111789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186"/>
    </font>
    <font>
      <sz val="10"/>
      <color theme="0" tint="-0.499984740745262"/>
      <name val="Arial"/>
      <family val="2"/>
      <charset val="204"/>
    </font>
    <font>
      <sz val="10"/>
      <color theme="0" tint="-0.34998626667073579"/>
      <name val="Arial"/>
      <family val="2"/>
      <charset val="186"/>
    </font>
    <font>
      <sz val="10"/>
      <color theme="0" tint="-0.249977111117893"/>
      <name val="Arial"/>
      <family val="2"/>
      <charset val="186"/>
    </font>
    <font>
      <sz val="8"/>
      <name val="Arial"/>
      <family val="1"/>
      <charset val="186"/>
    </font>
    <font>
      <sz val="12"/>
      <color theme="0" tint="-0.499984740745262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Times New Roman"/>
      <family val="1"/>
      <charset val="186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186"/>
    </font>
    <font>
      <sz val="12"/>
      <name val="Arial Cyr"/>
      <charset val="204"/>
    </font>
    <font>
      <sz val="10"/>
      <color theme="0" tint="-0.499984740745262"/>
      <name val="Arial"/>
      <family val="2"/>
      <charset val="186"/>
    </font>
    <font>
      <sz val="10"/>
      <color theme="0" tint="-0.249977111117893"/>
      <name val="Arial"/>
      <family val="2"/>
      <charset val="204"/>
    </font>
    <font>
      <sz val="14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9"/>
      <color indexed="8"/>
      <name val="Times New Roman"/>
      <family val="1"/>
      <charset val="186"/>
    </font>
    <font>
      <sz val="9"/>
      <name val="Times New Roman"/>
      <family val="1"/>
      <charset val="186"/>
    </font>
    <font>
      <sz val="12"/>
      <name val="Times New Roman"/>
      <family val="1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2" fillId="0" borderId="0"/>
    <xf numFmtId="0" fontId="26" fillId="0" borderId="0"/>
  </cellStyleXfs>
  <cellXfs count="138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/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6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2" fillId="0" borderId="3" xfId="0" applyFont="1" applyBorder="1"/>
    <xf numFmtId="0" fontId="8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/>
    <xf numFmtId="0" fontId="7" fillId="0" borderId="3" xfId="0" applyFont="1" applyBorder="1"/>
    <xf numFmtId="0" fontId="7" fillId="0" borderId="7" xfId="0" applyFont="1" applyBorder="1"/>
    <xf numFmtId="0" fontId="1" fillId="0" borderId="3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6" fillId="0" borderId="3" xfId="0" applyFont="1" applyBorder="1" applyAlignment="1">
      <alignment wrapText="1"/>
    </xf>
    <xf numFmtId="0" fontId="6" fillId="5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1" fontId="11" fillId="3" borderId="3" xfId="0" applyNumberFormat="1" applyFont="1" applyFill="1" applyBorder="1" applyAlignment="1">
      <alignment horizontal="center"/>
    </xf>
    <xf numFmtId="164" fontId="7" fillId="0" borderId="3" xfId="0" applyNumberFormat="1" applyFont="1" applyBorder="1"/>
    <xf numFmtId="9" fontId="7" fillId="0" borderId="7" xfId="1" applyFont="1" applyBorder="1"/>
    <xf numFmtId="0" fontId="6" fillId="3" borderId="0" xfId="0" applyFont="1" applyFill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1" fontId="6" fillId="5" borderId="3" xfId="0" applyNumberFormat="1" applyFont="1" applyFill="1" applyBorder="1" applyAlignment="1">
      <alignment horizontal="center"/>
    </xf>
    <xf numFmtId="0" fontId="12" fillId="0" borderId="3" xfId="0" applyFont="1" applyBorder="1"/>
    <xf numFmtId="0" fontId="1" fillId="0" borderId="6" xfId="0" applyFont="1" applyBorder="1" applyAlignment="1">
      <alignment wrapText="1"/>
    </xf>
    <xf numFmtId="0" fontId="13" fillId="3" borderId="3" xfId="0" applyFont="1" applyFill="1" applyBorder="1"/>
    <xf numFmtId="0" fontId="2" fillId="3" borderId="3" xfId="0" applyFont="1" applyFill="1" applyBorder="1"/>
    <xf numFmtId="0" fontId="14" fillId="3" borderId="3" xfId="0" applyFont="1" applyFill="1" applyBorder="1"/>
    <xf numFmtId="0" fontId="15" fillId="3" borderId="3" xfId="0" applyFont="1" applyFill="1" applyBorder="1"/>
    <xf numFmtId="0" fontId="2" fillId="2" borderId="3" xfId="0" applyFont="1" applyFill="1" applyBorder="1"/>
    <xf numFmtId="0" fontId="2" fillId="0" borderId="8" xfId="0" applyFont="1" applyBorder="1"/>
    <xf numFmtId="0" fontId="15" fillId="3" borderId="8" xfId="0" applyFont="1" applyFill="1" applyBorder="1"/>
    <xf numFmtId="0" fontId="2" fillId="2" borderId="8" xfId="0" applyFont="1" applyFill="1" applyBorder="1"/>
    <xf numFmtId="0" fontId="7" fillId="0" borderId="8" xfId="0" applyFont="1" applyBorder="1"/>
    <xf numFmtId="0" fontId="11" fillId="3" borderId="3" xfId="0" applyFont="1" applyFill="1" applyBorder="1"/>
    <xf numFmtId="0" fontId="6" fillId="3" borderId="3" xfId="0" applyFont="1" applyFill="1" applyBorder="1"/>
    <xf numFmtId="0" fontId="6" fillId="2" borderId="3" xfId="0" applyFont="1" applyFill="1" applyBorder="1"/>
    <xf numFmtId="9" fontId="7" fillId="0" borderId="3" xfId="1" applyFont="1" applyBorder="1"/>
    <xf numFmtId="1" fontId="7" fillId="0" borderId="3" xfId="0" applyNumberFormat="1" applyFont="1" applyBorder="1"/>
    <xf numFmtId="0" fontId="17" fillId="3" borderId="3" xfId="0" applyFont="1" applyFill="1" applyBorder="1"/>
    <xf numFmtId="0" fontId="18" fillId="3" borderId="3" xfId="0" applyFont="1" applyFill="1" applyBorder="1"/>
    <xf numFmtId="0" fontId="19" fillId="2" borderId="3" xfId="0" applyFont="1" applyFill="1" applyBorder="1"/>
    <xf numFmtId="0" fontId="6" fillId="0" borderId="3" xfId="0" applyFont="1" applyBorder="1" applyAlignment="1">
      <alignment horizontal="left" wrapText="1"/>
    </xf>
    <xf numFmtId="1" fontId="6" fillId="0" borderId="3" xfId="0" applyNumberFormat="1" applyFont="1" applyBorder="1"/>
    <xf numFmtId="1" fontId="11" fillId="3" borderId="3" xfId="0" applyNumberFormat="1" applyFont="1" applyFill="1" applyBorder="1"/>
    <xf numFmtId="1" fontId="6" fillId="2" borderId="3" xfId="0" applyNumberFormat="1" applyFont="1" applyFill="1" applyBorder="1"/>
    <xf numFmtId="0" fontId="12" fillId="3" borderId="3" xfId="0" applyFont="1" applyFill="1" applyBorder="1"/>
    <xf numFmtId="0" fontId="1" fillId="3" borderId="3" xfId="0" applyFont="1" applyFill="1" applyBorder="1" applyAlignment="1">
      <alignment wrapText="1"/>
    </xf>
    <xf numFmtId="164" fontId="1" fillId="3" borderId="3" xfId="0" applyNumberFormat="1" applyFont="1" applyFill="1" applyBorder="1" applyAlignment="1">
      <alignment wrapText="1"/>
    </xf>
    <xf numFmtId="164" fontId="20" fillId="3" borderId="3" xfId="0" applyNumberFormat="1" applyFont="1" applyFill="1" applyBorder="1" applyAlignment="1">
      <alignment wrapText="1"/>
    </xf>
    <xf numFmtId="164" fontId="21" fillId="3" borderId="3" xfId="0" applyNumberFormat="1" applyFont="1" applyFill="1" applyBorder="1"/>
    <xf numFmtId="9" fontId="21" fillId="3" borderId="3" xfId="1" applyFont="1" applyFill="1" applyBorder="1"/>
    <xf numFmtId="0" fontId="6" fillId="0" borderId="3" xfId="0" applyFont="1" applyBorder="1" applyAlignment="1">
      <alignment horizontal="right" wrapText="1"/>
    </xf>
    <xf numFmtId="164" fontId="6" fillId="0" borderId="3" xfId="0" applyNumberFormat="1" applyFont="1" applyBorder="1"/>
    <xf numFmtId="164" fontId="6" fillId="3" borderId="3" xfId="0" applyNumberFormat="1" applyFont="1" applyFill="1" applyBorder="1"/>
    <xf numFmtId="164" fontId="11" fillId="3" borderId="3" xfId="0" applyNumberFormat="1" applyFont="1" applyFill="1" applyBorder="1"/>
    <xf numFmtId="164" fontId="6" fillId="2" borderId="3" xfId="0" applyNumberFormat="1" applyFont="1" applyFill="1" applyBorder="1"/>
    <xf numFmtId="2" fontId="6" fillId="3" borderId="3" xfId="0" applyNumberFormat="1" applyFont="1" applyFill="1" applyBorder="1"/>
    <xf numFmtId="2" fontId="6" fillId="2" borderId="3" xfId="0" applyNumberFormat="1" applyFont="1" applyFill="1" applyBorder="1"/>
    <xf numFmtId="0" fontId="1" fillId="0" borderId="8" xfId="0" applyFont="1" applyBorder="1" applyAlignment="1">
      <alignment wrapText="1"/>
    </xf>
    <xf numFmtId="164" fontId="20" fillId="3" borderId="8" xfId="0" applyNumberFormat="1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20" fillId="3" borderId="8" xfId="0" applyFont="1" applyFill="1" applyBorder="1" applyAlignment="1">
      <alignment wrapText="1"/>
    </xf>
    <xf numFmtId="164" fontId="1" fillId="0" borderId="8" xfId="0" applyNumberFormat="1" applyFont="1" applyBorder="1" applyAlignment="1">
      <alignment wrapText="1"/>
    </xf>
    <xf numFmtId="164" fontId="1" fillId="2" borderId="8" xfId="0" applyNumberFormat="1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21" fillId="0" borderId="3" xfId="0" applyFont="1" applyBorder="1"/>
    <xf numFmtId="9" fontId="21" fillId="0" borderId="3" xfId="1" applyFont="1" applyBorder="1"/>
    <xf numFmtId="0" fontId="2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 vertical="center" wrapText="1"/>
    </xf>
    <xf numFmtId="2" fontId="11" fillId="3" borderId="3" xfId="0" applyNumberFormat="1" applyFont="1" applyFill="1" applyBorder="1"/>
    <xf numFmtId="0" fontId="1" fillId="0" borderId="3" xfId="0" applyFont="1" applyBorder="1" applyAlignment="1">
      <alignment vertical="center" wrapText="1"/>
    </xf>
    <xf numFmtId="164" fontId="1" fillId="3" borderId="8" xfId="0" applyNumberFormat="1" applyFont="1" applyFill="1" applyBorder="1" applyAlignment="1">
      <alignment wrapText="1"/>
    </xf>
    <xf numFmtId="2" fontId="6" fillId="0" borderId="3" xfId="0" applyNumberFormat="1" applyFont="1" applyBorder="1"/>
    <xf numFmtId="16" fontId="12" fillId="0" borderId="3" xfId="0" applyNumberFormat="1" applyFont="1" applyBorder="1"/>
    <xf numFmtId="0" fontId="20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64" fontId="1" fillId="2" borderId="3" xfId="0" applyNumberFormat="1" applyFont="1" applyFill="1" applyBorder="1" applyAlignment="1">
      <alignment vertical="center" wrapText="1"/>
    </xf>
    <xf numFmtId="0" fontId="8" fillId="0" borderId="3" xfId="2" applyFont="1" applyBorder="1"/>
    <xf numFmtId="0" fontId="6" fillId="0" borderId="12" xfId="2" applyFont="1" applyBorder="1" applyAlignment="1">
      <alignment horizontal="right"/>
    </xf>
    <xf numFmtId="0" fontId="1" fillId="0" borderId="3" xfId="0" applyFont="1" applyBorder="1" applyAlignment="1">
      <alignment horizontal="left" vertical="center" wrapText="1"/>
    </xf>
    <xf numFmtId="164" fontId="20" fillId="3" borderId="3" xfId="0" applyNumberFormat="1" applyFont="1" applyFill="1" applyBorder="1"/>
    <xf numFmtId="0" fontId="1" fillId="3" borderId="3" xfId="0" applyFont="1" applyFill="1" applyBorder="1"/>
    <xf numFmtId="0" fontId="6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4" fontId="17" fillId="3" borderId="3" xfId="0" applyNumberFormat="1" applyFont="1" applyFill="1" applyBorder="1"/>
    <xf numFmtId="164" fontId="18" fillId="3" borderId="3" xfId="0" applyNumberFormat="1" applyFont="1" applyFill="1" applyBorder="1"/>
    <xf numFmtId="17" fontId="12" fillId="0" borderId="3" xfId="0" applyNumberFormat="1" applyFont="1" applyBorder="1"/>
    <xf numFmtId="0" fontId="6" fillId="0" borderId="3" xfId="2" applyFont="1" applyBorder="1" applyAlignment="1">
      <alignment horizontal="left"/>
    </xf>
    <xf numFmtId="0" fontId="7" fillId="0" borderId="13" xfId="2" applyFont="1" applyBorder="1" applyAlignment="1">
      <alignment horizontal="left" wrapText="1"/>
    </xf>
    <xf numFmtId="0" fontId="6" fillId="0" borderId="1" xfId="2" applyFont="1" applyBorder="1" applyAlignment="1">
      <alignment horizontal="left" wrapText="1"/>
    </xf>
    <xf numFmtId="0" fontId="1" fillId="0" borderId="3" xfId="0" applyFont="1" applyBorder="1"/>
    <xf numFmtId="164" fontId="21" fillId="0" borderId="3" xfId="0" applyNumberFormat="1" applyFont="1" applyBorder="1"/>
    <xf numFmtId="0" fontId="23" fillId="0" borderId="3" xfId="0" applyFont="1" applyBorder="1"/>
    <xf numFmtId="0" fontId="24" fillId="0" borderId="3" xfId="0" applyFont="1" applyBorder="1"/>
    <xf numFmtId="0" fontId="25" fillId="0" borderId="0" xfId="0" applyFont="1" applyAlignment="1">
      <alignment wrapText="1"/>
    </xf>
    <xf numFmtId="164" fontId="2" fillId="0" borderId="0" xfId="0" applyNumberFormat="1" applyFont="1"/>
    <xf numFmtId="164" fontId="14" fillId="0" borderId="0" xfId="0" applyNumberFormat="1" applyFont="1"/>
    <xf numFmtId="0" fontId="27" fillId="0" borderId="0" xfId="2" applyFont="1" applyAlignment="1">
      <alignment horizontal="left" wrapText="1"/>
    </xf>
    <xf numFmtId="0" fontId="2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25" fillId="0" borderId="0" xfId="0" applyFont="1" applyAlignment="1">
      <alignment horizontal="left" wrapText="1"/>
    </xf>
    <xf numFmtId="0" fontId="7" fillId="0" borderId="0" xfId="3" applyFont="1" applyAlignment="1">
      <alignment horizontal="left" wrapText="1"/>
    </xf>
  </cellXfs>
  <cellStyles count="4">
    <cellStyle name="Normal 2" xfId="2" xr:uid="{A755F528-1540-4074-9AED-8ED9994943C6}"/>
    <cellStyle name="Обычный" xfId="0" builtinId="0"/>
    <cellStyle name="Обычный 3" xfId="3" xr:uid="{00808A6F-AF25-4F07-98A7-396C0DAA6F3E}"/>
    <cellStyle name="Процентный 2" xfId="1" xr:uid="{A8BE7EA2-5DAE-410E-BCD0-47E9EAC06E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EBAFB-53C0-45C8-AEAC-847497B754E5}">
  <sheetPr>
    <tabColor rgb="FF92D050"/>
  </sheetPr>
  <dimension ref="A1:Q160"/>
  <sheetViews>
    <sheetView tabSelected="1" zoomScale="85" zoomScaleNormal="85" workbookViewId="0">
      <pane ySplit="6" topLeftCell="A139" activePane="bottomLeft" state="frozen"/>
      <selection activeCell="N18" sqref="N18"/>
      <selection pane="bottomLeft" activeCell="Y15" sqref="Y15"/>
    </sheetView>
  </sheetViews>
  <sheetFormatPr defaultRowHeight="12.75" x14ac:dyDescent="0.2"/>
  <cols>
    <col min="1" max="1" width="9.140625" style="4"/>
    <col min="2" max="2" width="66.140625" style="2" customWidth="1"/>
    <col min="3" max="3" width="11.5703125" style="2" bestFit="1" customWidth="1"/>
    <col min="4" max="7" width="8.140625" style="4" bestFit="1" customWidth="1"/>
    <col min="8" max="9" width="7.7109375" style="4" bestFit="1" customWidth="1"/>
    <col min="10" max="10" width="11.28515625" style="4" bestFit="1" customWidth="1"/>
    <col min="11" max="12" width="10.28515625" style="4" customWidth="1"/>
    <col min="13" max="13" width="8.85546875" style="4" customWidth="1"/>
    <col min="14" max="14" width="10.7109375" style="4" customWidth="1"/>
    <col min="15" max="15" width="8.140625" style="4" customWidth="1"/>
    <col min="16" max="16" width="11.5703125" style="4" customWidth="1"/>
    <col min="17" max="17" width="8" style="4" bestFit="1" customWidth="1"/>
    <col min="18" max="247" width="9.140625" style="4"/>
    <col min="248" max="248" width="66.140625" style="4" customWidth="1"/>
    <col min="249" max="249" width="11.5703125" style="4" bestFit="1" customWidth="1"/>
    <col min="250" max="253" width="8.140625" style="4" bestFit="1" customWidth="1"/>
    <col min="254" max="255" width="7.7109375" style="4" bestFit="1" customWidth="1"/>
    <col min="256" max="256" width="11.28515625" style="4" bestFit="1" customWidth="1"/>
    <col min="257" max="258" width="10.28515625" style="4" customWidth="1"/>
    <col min="259" max="259" width="8.85546875" style="4" customWidth="1"/>
    <col min="260" max="260" width="10.7109375" style="4" customWidth="1"/>
    <col min="261" max="261" width="8.140625" style="4" customWidth="1"/>
    <col min="262" max="262" width="11.5703125" style="4" customWidth="1"/>
    <col min="263" max="263" width="8" style="4" bestFit="1" customWidth="1"/>
    <col min="264" max="265" width="9.140625" style="4"/>
    <col min="266" max="266" width="10.42578125" style="4" customWidth="1"/>
    <col min="267" max="503" width="9.140625" style="4"/>
    <col min="504" max="504" width="66.140625" style="4" customWidth="1"/>
    <col min="505" max="505" width="11.5703125" style="4" bestFit="1" customWidth="1"/>
    <col min="506" max="509" width="8.140625" style="4" bestFit="1" customWidth="1"/>
    <col min="510" max="511" width="7.7109375" style="4" bestFit="1" customWidth="1"/>
    <col min="512" max="512" width="11.28515625" style="4" bestFit="1" customWidth="1"/>
    <col min="513" max="514" width="10.28515625" style="4" customWidth="1"/>
    <col min="515" max="515" width="8.85546875" style="4" customWidth="1"/>
    <col min="516" max="516" width="10.7109375" style="4" customWidth="1"/>
    <col min="517" max="517" width="8.140625" style="4" customWidth="1"/>
    <col min="518" max="518" width="11.5703125" style="4" customWidth="1"/>
    <col min="519" max="519" width="8" style="4" bestFit="1" customWidth="1"/>
    <col min="520" max="521" width="9.140625" style="4"/>
    <col min="522" max="522" width="10.42578125" style="4" customWidth="1"/>
    <col min="523" max="759" width="9.140625" style="4"/>
    <col min="760" max="760" width="66.140625" style="4" customWidth="1"/>
    <col min="761" max="761" width="11.5703125" style="4" bestFit="1" customWidth="1"/>
    <col min="762" max="765" width="8.140625" style="4" bestFit="1" customWidth="1"/>
    <col min="766" max="767" width="7.7109375" style="4" bestFit="1" customWidth="1"/>
    <col min="768" max="768" width="11.28515625" style="4" bestFit="1" customWidth="1"/>
    <col min="769" max="770" width="10.28515625" style="4" customWidth="1"/>
    <col min="771" max="771" width="8.85546875" style="4" customWidth="1"/>
    <col min="772" max="772" width="10.7109375" style="4" customWidth="1"/>
    <col min="773" max="773" width="8.140625" style="4" customWidth="1"/>
    <col min="774" max="774" width="11.5703125" style="4" customWidth="1"/>
    <col min="775" max="775" width="8" style="4" bestFit="1" customWidth="1"/>
    <col min="776" max="777" width="9.140625" style="4"/>
    <col min="778" max="778" width="10.42578125" style="4" customWidth="1"/>
    <col min="779" max="1015" width="9.140625" style="4"/>
    <col min="1016" max="1016" width="66.140625" style="4" customWidth="1"/>
    <col min="1017" max="1017" width="11.5703125" style="4" bestFit="1" customWidth="1"/>
    <col min="1018" max="1021" width="8.140625" style="4" bestFit="1" customWidth="1"/>
    <col min="1022" max="1023" width="7.7109375" style="4" bestFit="1" customWidth="1"/>
    <col min="1024" max="1024" width="11.28515625" style="4" bestFit="1" customWidth="1"/>
    <col min="1025" max="1026" width="10.28515625" style="4" customWidth="1"/>
    <col min="1027" max="1027" width="8.85546875" style="4" customWidth="1"/>
    <col min="1028" max="1028" width="10.7109375" style="4" customWidth="1"/>
    <col min="1029" max="1029" width="8.140625" style="4" customWidth="1"/>
    <col min="1030" max="1030" width="11.5703125" style="4" customWidth="1"/>
    <col min="1031" max="1031" width="8" style="4" bestFit="1" customWidth="1"/>
    <col min="1032" max="1033" width="9.140625" style="4"/>
    <col min="1034" max="1034" width="10.42578125" style="4" customWidth="1"/>
    <col min="1035" max="1271" width="9.140625" style="4"/>
    <col min="1272" max="1272" width="66.140625" style="4" customWidth="1"/>
    <col min="1273" max="1273" width="11.5703125" style="4" bestFit="1" customWidth="1"/>
    <col min="1274" max="1277" width="8.140625" style="4" bestFit="1" customWidth="1"/>
    <col min="1278" max="1279" width="7.7109375" style="4" bestFit="1" customWidth="1"/>
    <col min="1280" max="1280" width="11.28515625" style="4" bestFit="1" customWidth="1"/>
    <col min="1281" max="1282" width="10.28515625" style="4" customWidth="1"/>
    <col min="1283" max="1283" width="8.85546875" style="4" customWidth="1"/>
    <col min="1284" max="1284" width="10.7109375" style="4" customWidth="1"/>
    <col min="1285" max="1285" width="8.140625" style="4" customWidth="1"/>
    <col min="1286" max="1286" width="11.5703125" style="4" customWidth="1"/>
    <col min="1287" max="1287" width="8" style="4" bestFit="1" customWidth="1"/>
    <col min="1288" max="1289" width="9.140625" style="4"/>
    <col min="1290" max="1290" width="10.42578125" style="4" customWidth="1"/>
    <col min="1291" max="1527" width="9.140625" style="4"/>
    <col min="1528" max="1528" width="66.140625" style="4" customWidth="1"/>
    <col min="1529" max="1529" width="11.5703125" style="4" bestFit="1" customWidth="1"/>
    <col min="1530" max="1533" width="8.140625" style="4" bestFit="1" customWidth="1"/>
    <col min="1534" max="1535" width="7.7109375" style="4" bestFit="1" customWidth="1"/>
    <col min="1536" max="1536" width="11.28515625" style="4" bestFit="1" customWidth="1"/>
    <col min="1537" max="1538" width="10.28515625" style="4" customWidth="1"/>
    <col min="1539" max="1539" width="8.85546875" style="4" customWidth="1"/>
    <col min="1540" max="1540" width="10.7109375" style="4" customWidth="1"/>
    <col min="1541" max="1541" width="8.140625" style="4" customWidth="1"/>
    <col min="1542" max="1542" width="11.5703125" style="4" customWidth="1"/>
    <col min="1543" max="1543" width="8" style="4" bestFit="1" customWidth="1"/>
    <col min="1544" max="1545" width="9.140625" style="4"/>
    <col min="1546" max="1546" width="10.42578125" style="4" customWidth="1"/>
    <col min="1547" max="1783" width="9.140625" style="4"/>
    <col min="1784" max="1784" width="66.140625" style="4" customWidth="1"/>
    <col min="1785" max="1785" width="11.5703125" style="4" bestFit="1" customWidth="1"/>
    <col min="1786" max="1789" width="8.140625" style="4" bestFit="1" customWidth="1"/>
    <col min="1790" max="1791" width="7.7109375" style="4" bestFit="1" customWidth="1"/>
    <col min="1792" max="1792" width="11.28515625" style="4" bestFit="1" customWidth="1"/>
    <col min="1793" max="1794" width="10.28515625" style="4" customWidth="1"/>
    <col min="1795" max="1795" width="8.85546875" style="4" customWidth="1"/>
    <col min="1796" max="1796" width="10.7109375" style="4" customWidth="1"/>
    <col min="1797" max="1797" width="8.140625" style="4" customWidth="1"/>
    <col min="1798" max="1798" width="11.5703125" style="4" customWidth="1"/>
    <col min="1799" max="1799" width="8" style="4" bestFit="1" customWidth="1"/>
    <col min="1800" max="1801" width="9.140625" style="4"/>
    <col min="1802" max="1802" width="10.42578125" style="4" customWidth="1"/>
    <col min="1803" max="2039" width="9.140625" style="4"/>
    <col min="2040" max="2040" width="66.140625" style="4" customWidth="1"/>
    <col min="2041" max="2041" width="11.5703125" style="4" bestFit="1" customWidth="1"/>
    <col min="2042" max="2045" width="8.140625" style="4" bestFit="1" customWidth="1"/>
    <col min="2046" max="2047" width="7.7109375" style="4" bestFit="1" customWidth="1"/>
    <col min="2048" max="2048" width="11.28515625" style="4" bestFit="1" customWidth="1"/>
    <col min="2049" max="2050" width="10.28515625" style="4" customWidth="1"/>
    <col min="2051" max="2051" width="8.85546875" style="4" customWidth="1"/>
    <col min="2052" max="2052" width="10.7109375" style="4" customWidth="1"/>
    <col min="2053" max="2053" width="8.140625" style="4" customWidth="1"/>
    <col min="2054" max="2054" width="11.5703125" style="4" customWidth="1"/>
    <col min="2055" max="2055" width="8" style="4" bestFit="1" customWidth="1"/>
    <col min="2056" max="2057" width="9.140625" style="4"/>
    <col min="2058" max="2058" width="10.42578125" style="4" customWidth="1"/>
    <col min="2059" max="2295" width="9.140625" style="4"/>
    <col min="2296" max="2296" width="66.140625" style="4" customWidth="1"/>
    <col min="2297" max="2297" width="11.5703125" style="4" bestFit="1" customWidth="1"/>
    <col min="2298" max="2301" width="8.140625" style="4" bestFit="1" customWidth="1"/>
    <col min="2302" max="2303" width="7.7109375" style="4" bestFit="1" customWidth="1"/>
    <col min="2304" max="2304" width="11.28515625" style="4" bestFit="1" customWidth="1"/>
    <col min="2305" max="2306" width="10.28515625" style="4" customWidth="1"/>
    <col min="2307" max="2307" width="8.85546875" style="4" customWidth="1"/>
    <col min="2308" max="2308" width="10.7109375" style="4" customWidth="1"/>
    <col min="2309" max="2309" width="8.140625" style="4" customWidth="1"/>
    <col min="2310" max="2310" width="11.5703125" style="4" customWidth="1"/>
    <col min="2311" max="2311" width="8" style="4" bestFit="1" customWidth="1"/>
    <col min="2312" max="2313" width="9.140625" style="4"/>
    <col min="2314" max="2314" width="10.42578125" style="4" customWidth="1"/>
    <col min="2315" max="2551" width="9.140625" style="4"/>
    <col min="2552" max="2552" width="66.140625" style="4" customWidth="1"/>
    <col min="2553" max="2553" width="11.5703125" style="4" bestFit="1" customWidth="1"/>
    <col min="2554" max="2557" width="8.140625" style="4" bestFit="1" customWidth="1"/>
    <col min="2558" max="2559" width="7.7109375" style="4" bestFit="1" customWidth="1"/>
    <col min="2560" max="2560" width="11.28515625" style="4" bestFit="1" customWidth="1"/>
    <col min="2561" max="2562" width="10.28515625" style="4" customWidth="1"/>
    <col min="2563" max="2563" width="8.85546875" style="4" customWidth="1"/>
    <col min="2564" max="2564" width="10.7109375" style="4" customWidth="1"/>
    <col min="2565" max="2565" width="8.140625" style="4" customWidth="1"/>
    <col min="2566" max="2566" width="11.5703125" style="4" customWidth="1"/>
    <col min="2567" max="2567" width="8" style="4" bestFit="1" customWidth="1"/>
    <col min="2568" max="2569" width="9.140625" style="4"/>
    <col min="2570" max="2570" width="10.42578125" style="4" customWidth="1"/>
    <col min="2571" max="2807" width="9.140625" style="4"/>
    <col min="2808" max="2808" width="66.140625" style="4" customWidth="1"/>
    <col min="2809" max="2809" width="11.5703125" style="4" bestFit="1" customWidth="1"/>
    <col min="2810" max="2813" width="8.140625" style="4" bestFit="1" customWidth="1"/>
    <col min="2814" max="2815" width="7.7109375" style="4" bestFit="1" customWidth="1"/>
    <col min="2816" max="2816" width="11.28515625" style="4" bestFit="1" customWidth="1"/>
    <col min="2817" max="2818" width="10.28515625" style="4" customWidth="1"/>
    <col min="2819" max="2819" width="8.85546875" style="4" customWidth="1"/>
    <col min="2820" max="2820" width="10.7109375" style="4" customWidth="1"/>
    <col min="2821" max="2821" width="8.140625" style="4" customWidth="1"/>
    <col min="2822" max="2822" width="11.5703125" style="4" customWidth="1"/>
    <col min="2823" max="2823" width="8" style="4" bestFit="1" customWidth="1"/>
    <col min="2824" max="2825" width="9.140625" style="4"/>
    <col min="2826" max="2826" width="10.42578125" style="4" customWidth="1"/>
    <col min="2827" max="3063" width="9.140625" style="4"/>
    <col min="3064" max="3064" width="66.140625" style="4" customWidth="1"/>
    <col min="3065" max="3065" width="11.5703125" style="4" bestFit="1" customWidth="1"/>
    <col min="3066" max="3069" width="8.140625" style="4" bestFit="1" customWidth="1"/>
    <col min="3070" max="3071" width="7.7109375" style="4" bestFit="1" customWidth="1"/>
    <col min="3072" max="3072" width="11.28515625" style="4" bestFit="1" customWidth="1"/>
    <col min="3073" max="3074" width="10.28515625" style="4" customWidth="1"/>
    <col min="3075" max="3075" width="8.85546875" style="4" customWidth="1"/>
    <col min="3076" max="3076" width="10.7109375" style="4" customWidth="1"/>
    <col min="3077" max="3077" width="8.140625" style="4" customWidth="1"/>
    <col min="3078" max="3078" width="11.5703125" style="4" customWidth="1"/>
    <col min="3079" max="3079" width="8" style="4" bestFit="1" customWidth="1"/>
    <col min="3080" max="3081" width="9.140625" style="4"/>
    <col min="3082" max="3082" width="10.42578125" style="4" customWidth="1"/>
    <col min="3083" max="3319" width="9.140625" style="4"/>
    <col min="3320" max="3320" width="66.140625" style="4" customWidth="1"/>
    <col min="3321" max="3321" width="11.5703125" style="4" bestFit="1" customWidth="1"/>
    <col min="3322" max="3325" width="8.140625" style="4" bestFit="1" customWidth="1"/>
    <col min="3326" max="3327" width="7.7109375" style="4" bestFit="1" customWidth="1"/>
    <col min="3328" max="3328" width="11.28515625" style="4" bestFit="1" customWidth="1"/>
    <col min="3329" max="3330" width="10.28515625" style="4" customWidth="1"/>
    <col min="3331" max="3331" width="8.85546875" style="4" customWidth="1"/>
    <col min="3332" max="3332" width="10.7109375" style="4" customWidth="1"/>
    <col min="3333" max="3333" width="8.140625" style="4" customWidth="1"/>
    <col min="3334" max="3334" width="11.5703125" style="4" customWidth="1"/>
    <col min="3335" max="3335" width="8" style="4" bestFit="1" customWidth="1"/>
    <col min="3336" max="3337" width="9.140625" style="4"/>
    <col min="3338" max="3338" width="10.42578125" style="4" customWidth="1"/>
    <col min="3339" max="3575" width="9.140625" style="4"/>
    <col min="3576" max="3576" width="66.140625" style="4" customWidth="1"/>
    <col min="3577" max="3577" width="11.5703125" style="4" bestFit="1" customWidth="1"/>
    <col min="3578" max="3581" width="8.140625" style="4" bestFit="1" customWidth="1"/>
    <col min="3582" max="3583" width="7.7109375" style="4" bestFit="1" customWidth="1"/>
    <col min="3584" max="3584" width="11.28515625" style="4" bestFit="1" customWidth="1"/>
    <col min="3585" max="3586" width="10.28515625" style="4" customWidth="1"/>
    <col min="3587" max="3587" width="8.85546875" style="4" customWidth="1"/>
    <col min="3588" max="3588" width="10.7109375" style="4" customWidth="1"/>
    <col min="3589" max="3589" width="8.140625" style="4" customWidth="1"/>
    <col min="3590" max="3590" width="11.5703125" style="4" customWidth="1"/>
    <col min="3591" max="3591" width="8" style="4" bestFit="1" customWidth="1"/>
    <col min="3592" max="3593" width="9.140625" style="4"/>
    <col min="3594" max="3594" width="10.42578125" style="4" customWidth="1"/>
    <col min="3595" max="3831" width="9.140625" style="4"/>
    <col min="3832" max="3832" width="66.140625" style="4" customWidth="1"/>
    <col min="3833" max="3833" width="11.5703125" style="4" bestFit="1" customWidth="1"/>
    <col min="3834" max="3837" width="8.140625" style="4" bestFit="1" customWidth="1"/>
    <col min="3838" max="3839" width="7.7109375" style="4" bestFit="1" customWidth="1"/>
    <col min="3840" max="3840" width="11.28515625" style="4" bestFit="1" customWidth="1"/>
    <col min="3841" max="3842" width="10.28515625" style="4" customWidth="1"/>
    <col min="3843" max="3843" width="8.85546875" style="4" customWidth="1"/>
    <col min="3844" max="3844" width="10.7109375" style="4" customWidth="1"/>
    <col min="3845" max="3845" width="8.140625" style="4" customWidth="1"/>
    <col min="3846" max="3846" width="11.5703125" style="4" customWidth="1"/>
    <col min="3847" max="3847" width="8" style="4" bestFit="1" customWidth="1"/>
    <col min="3848" max="3849" width="9.140625" style="4"/>
    <col min="3850" max="3850" width="10.42578125" style="4" customWidth="1"/>
    <col min="3851" max="4087" width="9.140625" style="4"/>
    <col min="4088" max="4088" width="66.140625" style="4" customWidth="1"/>
    <col min="4089" max="4089" width="11.5703125" style="4" bestFit="1" customWidth="1"/>
    <col min="4090" max="4093" width="8.140625" style="4" bestFit="1" customWidth="1"/>
    <col min="4094" max="4095" width="7.7109375" style="4" bestFit="1" customWidth="1"/>
    <col min="4096" max="4096" width="11.28515625" style="4" bestFit="1" customWidth="1"/>
    <col min="4097" max="4098" width="10.28515625" style="4" customWidth="1"/>
    <col min="4099" max="4099" width="8.85546875" style="4" customWidth="1"/>
    <col min="4100" max="4100" width="10.7109375" style="4" customWidth="1"/>
    <col min="4101" max="4101" width="8.140625" style="4" customWidth="1"/>
    <col min="4102" max="4102" width="11.5703125" style="4" customWidth="1"/>
    <col min="4103" max="4103" width="8" style="4" bestFit="1" customWidth="1"/>
    <col min="4104" max="4105" width="9.140625" style="4"/>
    <col min="4106" max="4106" width="10.42578125" style="4" customWidth="1"/>
    <col min="4107" max="4343" width="9.140625" style="4"/>
    <col min="4344" max="4344" width="66.140625" style="4" customWidth="1"/>
    <col min="4345" max="4345" width="11.5703125" style="4" bestFit="1" customWidth="1"/>
    <col min="4346" max="4349" width="8.140625" style="4" bestFit="1" customWidth="1"/>
    <col min="4350" max="4351" width="7.7109375" style="4" bestFit="1" customWidth="1"/>
    <col min="4352" max="4352" width="11.28515625" style="4" bestFit="1" customWidth="1"/>
    <col min="4353" max="4354" width="10.28515625" style="4" customWidth="1"/>
    <col min="4355" max="4355" width="8.85546875" style="4" customWidth="1"/>
    <col min="4356" max="4356" width="10.7109375" style="4" customWidth="1"/>
    <col min="4357" max="4357" width="8.140625" style="4" customWidth="1"/>
    <col min="4358" max="4358" width="11.5703125" style="4" customWidth="1"/>
    <col min="4359" max="4359" width="8" style="4" bestFit="1" customWidth="1"/>
    <col min="4360" max="4361" width="9.140625" style="4"/>
    <col min="4362" max="4362" width="10.42578125" style="4" customWidth="1"/>
    <col min="4363" max="4599" width="9.140625" style="4"/>
    <col min="4600" max="4600" width="66.140625" style="4" customWidth="1"/>
    <col min="4601" max="4601" width="11.5703125" style="4" bestFit="1" customWidth="1"/>
    <col min="4602" max="4605" width="8.140625" style="4" bestFit="1" customWidth="1"/>
    <col min="4606" max="4607" width="7.7109375" style="4" bestFit="1" customWidth="1"/>
    <col min="4608" max="4608" width="11.28515625" style="4" bestFit="1" customWidth="1"/>
    <col min="4609" max="4610" width="10.28515625" style="4" customWidth="1"/>
    <col min="4611" max="4611" width="8.85546875" style="4" customWidth="1"/>
    <col min="4612" max="4612" width="10.7109375" style="4" customWidth="1"/>
    <col min="4613" max="4613" width="8.140625" style="4" customWidth="1"/>
    <col min="4614" max="4614" width="11.5703125" style="4" customWidth="1"/>
    <col min="4615" max="4615" width="8" style="4" bestFit="1" customWidth="1"/>
    <col min="4616" max="4617" width="9.140625" style="4"/>
    <col min="4618" max="4618" width="10.42578125" style="4" customWidth="1"/>
    <col min="4619" max="4855" width="9.140625" style="4"/>
    <col min="4856" max="4856" width="66.140625" style="4" customWidth="1"/>
    <col min="4857" max="4857" width="11.5703125" style="4" bestFit="1" customWidth="1"/>
    <col min="4858" max="4861" width="8.140625" style="4" bestFit="1" customWidth="1"/>
    <col min="4862" max="4863" width="7.7109375" style="4" bestFit="1" customWidth="1"/>
    <col min="4864" max="4864" width="11.28515625" style="4" bestFit="1" customWidth="1"/>
    <col min="4865" max="4866" width="10.28515625" style="4" customWidth="1"/>
    <col min="4867" max="4867" width="8.85546875" style="4" customWidth="1"/>
    <col min="4868" max="4868" width="10.7109375" style="4" customWidth="1"/>
    <col min="4869" max="4869" width="8.140625" style="4" customWidth="1"/>
    <col min="4870" max="4870" width="11.5703125" style="4" customWidth="1"/>
    <col min="4871" max="4871" width="8" style="4" bestFit="1" customWidth="1"/>
    <col min="4872" max="4873" width="9.140625" style="4"/>
    <col min="4874" max="4874" width="10.42578125" style="4" customWidth="1"/>
    <col min="4875" max="5111" width="9.140625" style="4"/>
    <col min="5112" max="5112" width="66.140625" style="4" customWidth="1"/>
    <col min="5113" max="5113" width="11.5703125" style="4" bestFit="1" customWidth="1"/>
    <col min="5114" max="5117" width="8.140625" style="4" bestFit="1" customWidth="1"/>
    <col min="5118" max="5119" width="7.7109375" style="4" bestFit="1" customWidth="1"/>
    <col min="5120" max="5120" width="11.28515625" style="4" bestFit="1" customWidth="1"/>
    <col min="5121" max="5122" width="10.28515625" style="4" customWidth="1"/>
    <col min="5123" max="5123" width="8.85546875" style="4" customWidth="1"/>
    <col min="5124" max="5124" width="10.7109375" style="4" customWidth="1"/>
    <col min="5125" max="5125" width="8.140625" style="4" customWidth="1"/>
    <col min="5126" max="5126" width="11.5703125" style="4" customWidth="1"/>
    <col min="5127" max="5127" width="8" style="4" bestFit="1" customWidth="1"/>
    <col min="5128" max="5129" width="9.140625" style="4"/>
    <col min="5130" max="5130" width="10.42578125" style="4" customWidth="1"/>
    <col min="5131" max="5367" width="9.140625" style="4"/>
    <col min="5368" max="5368" width="66.140625" style="4" customWidth="1"/>
    <col min="5369" max="5369" width="11.5703125" style="4" bestFit="1" customWidth="1"/>
    <col min="5370" max="5373" width="8.140625" style="4" bestFit="1" customWidth="1"/>
    <col min="5374" max="5375" width="7.7109375" style="4" bestFit="1" customWidth="1"/>
    <col min="5376" max="5376" width="11.28515625" style="4" bestFit="1" customWidth="1"/>
    <col min="5377" max="5378" width="10.28515625" style="4" customWidth="1"/>
    <col min="5379" max="5379" width="8.85546875" style="4" customWidth="1"/>
    <col min="5380" max="5380" width="10.7109375" style="4" customWidth="1"/>
    <col min="5381" max="5381" width="8.140625" style="4" customWidth="1"/>
    <col min="5382" max="5382" width="11.5703125" style="4" customWidth="1"/>
    <col min="5383" max="5383" width="8" style="4" bestFit="1" customWidth="1"/>
    <col min="5384" max="5385" width="9.140625" style="4"/>
    <col min="5386" max="5386" width="10.42578125" style="4" customWidth="1"/>
    <col min="5387" max="5623" width="9.140625" style="4"/>
    <col min="5624" max="5624" width="66.140625" style="4" customWidth="1"/>
    <col min="5625" max="5625" width="11.5703125" style="4" bestFit="1" customWidth="1"/>
    <col min="5626" max="5629" width="8.140625" style="4" bestFit="1" customWidth="1"/>
    <col min="5630" max="5631" width="7.7109375" style="4" bestFit="1" customWidth="1"/>
    <col min="5632" max="5632" width="11.28515625" style="4" bestFit="1" customWidth="1"/>
    <col min="5633" max="5634" width="10.28515625" style="4" customWidth="1"/>
    <col min="5635" max="5635" width="8.85546875" style="4" customWidth="1"/>
    <col min="5636" max="5636" width="10.7109375" style="4" customWidth="1"/>
    <col min="5637" max="5637" width="8.140625" style="4" customWidth="1"/>
    <col min="5638" max="5638" width="11.5703125" style="4" customWidth="1"/>
    <col min="5639" max="5639" width="8" style="4" bestFit="1" customWidth="1"/>
    <col min="5640" max="5641" width="9.140625" style="4"/>
    <col min="5642" max="5642" width="10.42578125" style="4" customWidth="1"/>
    <col min="5643" max="5879" width="9.140625" style="4"/>
    <col min="5880" max="5880" width="66.140625" style="4" customWidth="1"/>
    <col min="5881" max="5881" width="11.5703125" style="4" bestFit="1" customWidth="1"/>
    <col min="5882" max="5885" width="8.140625" style="4" bestFit="1" customWidth="1"/>
    <col min="5886" max="5887" width="7.7109375" style="4" bestFit="1" customWidth="1"/>
    <col min="5888" max="5888" width="11.28515625" style="4" bestFit="1" customWidth="1"/>
    <col min="5889" max="5890" width="10.28515625" style="4" customWidth="1"/>
    <col min="5891" max="5891" width="8.85546875" style="4" customWidth="1"/>
    <col min="5892" max="5892" width="10.7109375" style="4" customWidth="1"/>
    <col min="5893" max="5893" width="8.140625" style="4" customWidth="1"/>
    <col min="5894" max="5894" width="11.5703125" style="4" customWidth="1"/>
    <col min="5895" max="5895" width="8" style="4" bestFit="1" customWidth="1"/>
    <col min="5896" max="5897" width="9.140625" style="4"/>
    <col min="5898" max="5898" width="10.42578125" style="4" customWidth="1"/>
    <col min="5899" max="6135" width="9.140625" style="4"/>
    <col min="6136" max="6136" width="66.140625" style="4" customWidth="1"/>
    <col min="6137" max="6137" width="11.5703125" style="4" bestFit="1" customWidth="1"/>
    <col min="6138" max="6141" width="8.140625" style="4" bestFit="1" customWidth="1"/>
    <col min="6142" max="6143" width="7.7109375" style="4" bestFit="1" customWidth="1"/>
    <col min="6144" max="6144" width="11.28515625" style="4" bestFit="1" customWidth="1"/>
    <col min="6145" max="6146" width="10.28515625" style="4" customWidth="1"/>
    <col min="6147" max="6147" width="8.85546875" style="4" customWidth="1"/>
    <col min="6148" max="6148" width="10.7109375" style="4" customWidth="1"/>
    <col min="6149" max="6149" width="8.140625" style="4" customWidth="1"/>
    <col min="6150" max="6150" width="11.5703125" style="4" customWidth="1"/>
    <col min="6151" max="6151" width="8" style="4" bestFit="1" customWidth="1"/>
    <col min="6152" max="6153" width="9.140625" style="4"/>
    <col min="6154" max="6154" width="10.42578125" style="4" customWidth="1"/>
    <col min="6155" max="6391" width="9.140625" style="4"/>
    <col min="6392" max="6392" width="66.140625" style="4" customWidth="1"/>
    <col min="6393" max="6393" width="11.5703125" style="4" bestFit="1" customWidth="1"/>
    <col min="6394" max="6397" width="8.140625" style="4" bestFit="1" customWidth="1"/>
    <col min="6398" max="6399" width="7.7109375" style="4" bestFit="1" customWidth="1"/>
    <col min="6400" max="6400" width="11.28515625" style="4" bestFit="1" customWidth="1"/>
    <col min="6401" max="6402" width="10.28515625" style="4" customWidth="1"/>
    <col min="6403" max="6403" width="8.85546875" style="4" customWidth="1"/>
    <col min="6404" max="6404" width="10.7109375" style="4" customWidth="1"/>
    <col min="6405" max="6405" width="8.140625" style="4" customWidth="1"/>
    <col min="6406" max="6406" width="11.5703125" style="4" customWidth="1"/>
    <col min="6407" max="6407" width="8" style="4" bestFit="1" customWidth="1"/>
    <col min="6408" max="6409" width="9.140625" style="4"/>
    <col min="6410" max="6410" width="10.42578125" style="4" customWidth="1"/>
    <col min="6411" max="6647" width="9.140625" style="4"/>
    <col min="6648" max="6648" width="66.140625" style="4" customWidth="1"/>
    <col min="6649" max="6649" width="11.5703125" style="4" bestFit="1" customWidth="1"/>
    <col min="6650" max="6653" width="8.140625" style="4" bestFit="1" customWidth="1"/>
    <col min="6654" max="6655" width="7.7109375" style="4" bestFit="1" customWidth="1"/>
    <col min="6656" max="6656" width="11.28515625" style="4" bestFit="1" customWidth="1"/>
    <col min="6657" max="6658" width="10.28515625" style="4" customWidth="1"/>
    <col min="6659" max="6659" width="8.85546875" style="4" customWidth="1"/>
    <col min="6660" max="6660" width="10.7109375" style="4" customWidth="1"/>
    <col min="6661" max="6661" width="8.140625" style="4" customWidth="1"/>
    <col min="6662" max="6662" width="11.5703125" style="4" customWidth="1"/>
    <col min="6663" max="6663" width="8" style="4" bestFit="1" customWidth="1"/>
    <col min="6664" max="6665" width="9.140625" style="4"/>
    <col min="6666" max="6666" width="10.42578125" style="4" customWidth="1"/>
    <col min="6667" max="6903" width="9.140625" style="4"/>
    <col min="6904" max="6904" width="66.140625" style="4" customWidth="1"/>
    <col min="6905" max="6905" width="11.5703125" style="4" bestFit="1" customWidth="1"/>
    <col min="6906" max="6909" width="8.140625" style="4" bestFit="1" customWidth="1"/>
    <col min="6910" max="6911" width="7.7109375" style="4" bestFit="1" customWidth="1"/>
    <col min="6912" max="6912" width="11.28515625" style="4" bestFit="1" customWidth="1"/>
    <col min="6913" max="6914" width="10.28515625" style="4" customWidth="1"/>
    <col min="6915" max="6915" width="8.85546875" style="4" customWidth="1"/>
    <col min="6916" max="6916" width="10.7109375" style="4" customWidth="1"/>
    <col min="6917" max="6917" width="8.140625" style="4" customWidth="1"/>
    <col min="6918" max="6918" width="11.5703125" style="4" customWidth="1"/>
    <col min="6919" max="6919" width="8" style="4" bestFit="1" customWidth="1"/>
    <col min="6920" max="6921" width="9.140625" style="4"/>
    <col min="6922" max="6922" width="10.42578125" style="4" customWidth="1"/>
    <col min="6923" max="7159" width="9.140625" style="4"/>
    <col min="7160" max="7160" width="66.140625" style="4" customWidth="1"/>
    <col min="7161" max="7161" width="11.5703125" style="4" bestFit="1" customWidth="1"/>
    <col min="7162" max="7165" width="8.140625" style="4" bestFit="1" customWidth="1"/>
    <col min="7166" max="7167" width="7.7109375" style="4" bestFit="1" customWidth="1"/>
    <col min="7168" max="7168" width="11.28515625" style="4" bestFit="1" customWidth="1"/>
    <col min="7169" max="7170" width="10.28515625" style="4" customWidth="1"/>
    <col min="7171" max="7171" width="8.85546875" style="4" customWidth="1"/>
    <col min="7172" max="7172" width="10.7109375" style="4" customWidth="1"/>
    <col min="7173" max="7173" width="8.140625" style="4" customWidth="1"/>
    <col min="7174" max="7174" width="11.5703125" style="4" customWidth="1"/>
    <col min="7175" max="7175" width="8" style="4" bestFit="1" customWidth="1"/>
    <col min="7176" max="7177" width="9.140625" style="4"/>
    <col min="7178" max="7178" width="10.42578125" style="4" customWidth="1"/>
    <col min="7179" max="7415" width="9.140625" style="4"/>
    <col min="7416" max="7416" width="66.140625" style="4" customWidth="1"/>
    <col min="7417" max="7417" width="11.5703125" style="4" bestFit="1" customWidth="1"/>
    <col min="7418" max="7421" width="8.140625" style="4" bestFit="1" customWidth="1"/>
    <col min="7422" max="7423" width="7.7109375" style="4" bestFit="1" customWidth="1"/>
    <col min="7424" max="7424" width="11.28515625" style="4" bestFit="1" customWidth="1"/>
    <col min="7425" max="7426" width="10.28515625" style="4" customWidth="1"/>
    <col min="7427" max="7427" width="8.85546875" style="4" customWidth="1"/>
    <col min="7428" max="7428" width="10.7109375" style="4" customWidth="1"/>
    <col min="7429" max="7429" width="8.140625" style="4" customWidth="1"/>
    <col min="7430" max="7430" width="11.5703125" style="4" customWidth="1"/>
    <col min="7431" max="7431" width="8" style="4" bestFit="1" customWidth="1"/>
    <col min="7432" max="7433" width="9.140625" style="4"/>
    <col min="7434" max="7434" width="10.42578125" style="4" customWidth="1"/>
    <col min="7435" max="7671" width="9.140625" style="4"/>
    <col min="7672" max="7672" width="66.140625" style="4" customWidth="1"/>
    <col min="7673" max="7673" width="11.5703125" style="4" bestFit="1" customWidth="1"/>
    <col min="7674" max="7677" width="8.140625" style="4" bestFit="1" customWidth="1"/>
    <col min="7678" max="7679" width="7.7109375" style="4" bestFit="1" customWidth="1"/>
    <col min="7680" max="7680" width="11.28515625" style="4" bestFit="1" customWidth="1"/>
    <col min="7681" max="7682" width="10.28515625" style="4" customWidth="1"/>
    <col min="7683" max="7683" width="8.85546875" style="4" customWidth="1"/>
    <col min="7684" max="7684" width="10.7109375" style="4" customWidth="1"/>
    <col min="7685" max="7685" width="8.140625" style="4" customWidth="1"/>
    <col min="7686" max="7686" width="11.5703125" style="4" customWidth="1"/>
    <col min="7687" max="7687" width="8" style="4" bestFit="1" customWidth="1"/>
    <col min="7688" max="7689" width="9.140625" style="4"/>
    <col min="7690" max="7690" width="10.42578125" style="4" customWidth="1"/>
    <col min="7691" max="7927" width="9.140625" style="4"/>
    <col min="7928" max="7928" width="66.140625" style="4" customWidth="1"/>
    <col min="7929" max="7929" width="11.5703125" style="4" bestFit="1" customWidth="1"/>
    <col min="7930" max="7933" width="8.140625" style="4" bestFit="1" customWidth="1"/>
    <col min="7934" max="7935" width="7.7109375" style="4" bestFit="1" customWidth="1"/>
    <col min="7936" max="7936" width="11.28515625" style="4" bestFit="1" customWidth="1"/>
    <col min="7937" max="7938" width="10.28515625" style="4" customWidth="1"/>
    <col min="7939" max="7939" width="8.85546875" style="4" customWidth="1"/>
    <col min="7940" max="7940" width="10.7109375" style="4" customWidth="1"/>
    <col min="7941" max="7941" width="8.140625" style="4" customWidth="1"/>
    <col min="7942" max="7942" width="11.5703125" style="4" customWidth="1"/>
    <col min="7943" max="7943" width="8" style="4" bestFit="1" customWidth="1"/>
    <col min="7944" max="7945" width="9.140625" style="4"/>
    <col min="7946" max="7946" width="10.42578125" style="4" customWidth="1"/>
    <col min="7947" max="8183" width="9.140625" style="4"/>
    <col min="8184" max="8184" width="66.140625" style="4" customWidth="1"/>
    <col min="8185" max="8185" width="11.5703125" style="4" bestFit="1" customWidth="1"/>
    <col min="8186" max="8189" width="8.140625" style="4" bestFit="1" customWidth="1"/>
    <col min="8190" max="8191" width="7.7109375" style="4" bestFit="1" customWidth="1"/>
    <col min="8192" max="8192" width="11.28515625" style="4" bestFit="1" customWidth="1"/>
    <col min="8193" max="8194" width="10.28515625" style="4" customWidth="1"/>
    <col min="8195" max="8195" width="8.85546875" style="4" customWidth="1"/>
    <col min="8196" max="8196" width="10.7109375" style="4" customWidth="1"/>
    <col min="8197" max="8197" width="8.140625" style="4" customWidth="1"/>
    <col min="8198" max="8198" width="11.5703125" style="4" customWidth="1"/>
    <col min="8199" max="8199" width="8" style="4" bestFit="1" customWidth="1"/>
    <col min="8200" max="8201" width="9.140625" style="4"/>
    <col min="8202" max="8202" width="10.42578125" style="4" customWidth="1"/>
    <col min="8203" max="8439" width="9.140625" style="4"/>
    <col min="8440" max="8440" width="66.140625" style="4" customWidth="1"/>
    <col min="8441" max="8441" width="11.5703125" style="4" bestFit="1" customWidth="1"/>
    <col min="8442" max="8445" width="8.140625" style="4" bestFit="1" customWidth="1"/>
    <col min="8446" max="8447" width="7.7109375" style="4" bestFit="1" customWidth="1"/>
    <col min="8448" max="8448" width="11.28515625" style="4" bestFit="1" customWidth="1"/>
    <col min="8449" max="8450" width="10.28515625" style="4" customWidth="1"/>
    <col min="8451" max="8451" width="8.85546875" style="4" customWidth="1"/>
    <col min="8452" max="8452" width="10.7109375" style="4" customWidth="1"/>
    <col min="8453" max="8453" width="8.140625" style="4" customWidth="1"/>
    <col min="8454" max="8454" width="11.5703125" style="4" customWidth="1"/>
    <col min="8455" max="8455" width="8" style="4" bestFit="1" customWidth="1"/>
    <col min="8456" max="8457" width="9.140625" style="4"/>
    <col min="8458" max="8458" width="10.42578125" style="4" customWidth="1"/>
    <col min="8459" max="8695" width="9.140625" style="4"/>
    <col min="8696" max="8696" width="66.140625" style="4" customWidth="1"/>
    <col min="8697" max="8697" width="11.5703125" style="4" bestFit="1" customWidth="1"/>
    <col min="8698" max="8701" width="8.140625" style="4" bestFit="1" customWidth="1"/>
    <col min="8702" max="8703" width="7.7109375" style="4" bestFit="1" customWidth="1"/>
    <col min="8704" max="8704" width="11.28515625" style="4" bestFit="1" customWidth="1"/>
    <col min="8705" max="8706" width="10.28515625" style="4" customWidth="1"/>
    <col min="8707" max="8707" width="8.85546875" style="4" customWidth="1"/>
    <col min="8708" max="8708" width="10.7109375" style="4" customWidth="1"/>
    <col min="8709" max="8709" width="8.140625" style="4" customWidth="1"/>
    <col min="8710" max="8710" width="11.5703125" style="4" customWidth="1"/>
    <col min="8711" max="8711" width="8" style="4" bestFit="1" customWidth="1"/>
    <col min="8712" max="8713" width="9.140625" style="4"/>
    <col min="8714" max="8714" width="10.42578125" style="4" customWidth="1"/>
    <col min="8715" max="8951" width="9.140625" style="4"/>
    <col min="8952" max="8952" width="66.140625" style="4" customWidth="1"/>
    <col min="8953" max="8953" width="11.5703125" style="4" bestFit="1" customWidth="1"/>
    <col min="8954" max="8957" width="8.140625" style="4" bestFit="1" customWidth="1"/>
    <col min="8958" max="8959" width="7.7109375" style="4" bestFit="1" customWidth="1"/>
    <col min="8960" max="8960" width="11.28515625" style="4" bestFit="1" customWidth="1"/>
    <col min="8961" max="8962" width="10.28515625" style="4" customWidth="1"/>
    <col min="8963" max="8963" width="8.85546875" style="4" customWidth="1"/>
    <col min="8964" max="8964" width="10.7109375" style="4" customWidth="1"/>
    <col min="8965" max="8965" width="8.140625" style="4" customWidth="1"/>
    <col min="8966" max="8966" width="11.5703125" style="4" customWidth="1"/>
    <col min="8967" max="8967" width="8" style="4" bestFit="1" customWidth="1"/>
    <col min="8968" max="8969" width="9.140625" style="4"/>
    <col min="8970" max="8970" width="10.42578125" style="4" customWidth="1"/>
    <col min="8971" max="9207" width="9.140625" style="4"/>
    <col min="9208" max="9208" width="66.140625" style="4" customWidth="1"/>
    <col min="9209" max="9209" width="11.5703125" style="4" bestFit="1" customWidth="1"/>
    <col min="9210" max="9213" width="8.140625" style="4" bestFit="1" customWidth="1"/>
    <col min="9214" max="9215" width="7.7109375" style="4" bestFit="1" customWidth="1"/>
    <col min="9216" max="9216" width="11.28515625" style="4" bestFit="1" customWidth="1"/>
    <col min="9217" max="9218" width="10.28515625" style="4" customWidth="1"/>
    <col min="9219" max="9219" width="8.85546875" style="4" customWidth="1"/>
    <col min="9220" max="9220" width="10.7109375" style="4" customWidth="1"/>
    <col min="9221" max="9221" width="8.140625" style="4" customWidth="1"/>
    <col min="9222" max="9222" width="11.5703125" style="4" customWidth="1"/>
    <col min="9223" max="9223" width="8" style="4" bestFit="1" customWidth="1"/>
    <col min="9224" max="9225" width="9.140625" style="4"/>
    <col min="9226" max="9226" width="10.42578125" style="4" customWidth="1"/>
    <col min="9227" max="9463" width="9.140625" style="4"/>
    <col min="9464" max="9464" width="66.140625" style="4" customWidth="1"/>
    <col min="9465" max="9465" width="11.5703125" style="4" bestFit="1" customWidth="1"/>
    <col min="9466" max="9469" width="8.140625" style="4" bestFit="1" customWidth="1"/>
    <col min="9470" max="9471" width="7.7109375" style="4" bestFit="1" customWidth="1"/>
    <col min="9472" max="9472" width="11.28515625" style="4" bestFit="1" customWidth="1"/>
    <col min="9473" max="9474" width="10.28515625" style="4" customWidth="1"/>
    <col min="9475" max="9475" width="8.85546875" style="4" customWidth="1"/>
    <col min="9476" max="9476" width="10.7109375" style="4" customWidth="1"/>
    <col min="9477" max="9477" width="8.140625" style="4" customWidth="1"/>
    <col min="9478" max="9478" width="11.5703125" style="4" customWidth="1"/>
    <col min="9479" max="9479" width="8" style="4" bestFit="1" customWidth="1"/>
    <col min="9480" max="9481" width="9.140625" style="4"/>
    <col min="9482" max="9482" width="10.42578125" style="4" customWidth="1"/>
    <col min="9483" max="9719" width="9.140625" style="4"/>
    <col min="9720" max="9720" width="66.140625" style="4" customWidth="1"/>
    <col min="9721" max="9721" width="11.5703125" style="4" bestFit="1" customWidth="1"/>
    <col min="9722" max="9725" width="8.140625" style="4" bestFit="1" customWidth="1"/>
    <col min="9726" max="9727" width="7.7109375" style="4" bestFit="1" customWidth="1"/>
    <col min="9728" max="9728" width="11.28515625" style="4" bestFit="1" customWidth="1"/>
    <col min="9729" max="9730" width="10.28515625" style="4" customWidth="1"/>
    <col min="9731" max="9731" width="8.85546875" style="4" customWidth="1"/>
    <col min="9732" max="9732" width="10.7109375" style="4" customWidth="1"/>
    <col min="9733" max="9733" width="8.140625" style="4" customWidth="1"/>
    <col min="9734" max="9734" width="11.5703125" style="4" customWidth="1"/>
    <col min="9735" max="9735" width="8" style="4" bestFit="1" customWidth="1"/>
    <col min="9736" max="9737" width="9.140625" style="4"/>
    <col min="9738" max="9738" width="10.42578125" style="4" customWidth="1"/>
    <col min="9739" max="9975" width="9.140625" style="4"/>
    <col min="9976" max="9976" width="66.140625" style="4" customWidth="1"/>
    <col min="9977" max="9977" width="11.5703125" style="4" bestFit="1" customWidth="1"/>
    <col min="9978" max="9981" width="8.140625" style="4" bestFit="1" customWidth="1"/>
    <col min="9982" max="9983" width="7.7109375" style="4" bestFit="1" customWidth="1"/>
    <col min="9984" max="9984" width="11.28515625" style="4" bestFit="1" customWidth="1"/>
    <col min="9985" max="9986" width="10.28515625" style="4" customWidth="1"/>
    <col min="9987" max="9987" width="8.85546875" style="4" customWidth="1"/>
    <col min="9988" max="9988" width="10.7109375" style="4" customWidth="1"/>
    <col min="9989" max="9989" width="8.140625" style="4" customWidth="1"/>
    <col min="9990" max="9990" width="11.5703125" style="4" customWidth="1"/>
    <col min="9991" max="9991" width="8" style="4" bestFit="1" customWidth="1"/>
    <col min="9992" max="9993" width="9.140625" style="4"/>
    <col min="9994" max="9994" width="10.42578125" style="4" customWidth="1"/>
    <col min="9995" max="10231" width="9.140625" style="4"/>
    <col min="10232" max="10232" width="66.140625" style="4" customWidth="1"/>
    <col min="10233" max="10233" width="11.5703125" style="4" bestFit="1" customWidth="1"/>
    <col min="10234" max="10237" width="8.140625" style="4" bestFit="1" customWidth="1"/>
    <col min="10238" max="10239" width="7.7109375" style="4" bestFit="1" customWidth="1"/>
    <col min="10240" max="10240" width="11.28515625" style="4" bestFit="1" customWidth="1"/>
    <col min="10241" max="10242" width="10.28515625" style="4" customWidth="1"/>
    <col min="10243" max="10243" width="8.85546875" style="4" customWidth="1"/>
    <col min="10244" max="10244" width="10.7109375" style="4" customWidth="1"/>
    <col min="10245" max="10245" width="8.140625" style="4" customWidth="1"/>
    <col min="10246" max="10246" width="11.5703125" style="4" customWidth="1"/>
    <col min="10247" max="10247" width="8" style="4" bestFit="1" customWidth="1"/>
    <col min="10248" max="10249" width="9.140625" style="4"/>
    <col min="10250" max="10250" width="10.42578125" style="4" customWidth="1"/>
    <col min="10251" max="10487" width="9.140625" style="4"/>
    <col min="10488" max="10488" width="66.140625" style="4" customWidth="1"/>
    <col min="10489" max="10489" width="11.5703125" style="4" bestFit="1" customWidth="1"/>
    <col min="10490" max="10493" width="8.140625" style="4" bestFit="1" customWidth="1"/>
    <col min="10494" max="10495" width="7.7109375" style="4" bestFit="1" customWidth="1"/>
    <col min="10496" max="10496" width="11.28515625" style="4" bestFit="1" customWidth="1"/>
    <col min="10497" max="10498" width="10.28515625" style="4" customWidth="1"/>
    <col min="10499" max="10499" width="8.85546875" style="4" customWidth="1"/>
    <col min="10500" max="10500" width="10.7109375" style="4" customWidth="1"/>
    <col min="10501" max="10501" width="8.140625" style="4" customWidth="1"/>
    <col min="10502" max="10502" width="11.5703125" style="4" customWidth="1"/>
    <col min="10503" max="10503" width="8" style="4" bestFit="1" customWidth="1"/>
    <col min="10504" max="10505" width="9.140625" style="4"/>
    <col min="10506" max="10506" width="10.42578125" style="4" customWidth="1"/>
    <col min="10507" max="10743" width="9.140625" style="4"/>
    <col min="10744" max="10744" width="66.140625" style="4" customWidth="1"/>
    <col min="10745" max="10745" width="11.5703125" style="4" bestFit="1" customWidth="1"/>
    <col min="10746" max="10749" width="8.140625" style="4" bestFit="1" customWidth="1"/>
    <col min="10750" max="10751" width="7.7109375" style="4" bestFit="1" customWidth="1"/>
    <col min="10752" max="10752" width="11.28515625" style="4" bestFit="1" customWidth="1"/>
    <col min="10753" max="10754" width="10.28515625" style="4" customWidth="1"/>
    <col min="10755" max="10755" width="8.85546875" style="4" customWidth="1"/>
    <col min="10756" max="10756" width="10.7109375" style="4" customWidth="1"/>
    <col min="10757" max="10757" width="8.140625" style="4" customWidth="1"/>
    <col min="10758" max="10758" width="11.5703125" style="4" customWidth="1"/>
    <col min="10759" max="10759" width="8" style="4" bestFit="1" customWidth="1"/>
    <col min="10760" max="10761" width="9.140625" style="4"/>
    <col min="10762" max="10762" width="10.42578125" style="4" customWidth="1"/>
    <col min="10763" max="10999" width="9.140625" style="4"/>
    <col min="11000" max="11000" width="66.140625" style="4" customWidth="1"/>
    <col min="11001" max="11001" width="11.5703125" style="4" bestFit="1" customWidth="1"/>
    <col min="11002" max="11005" width="8.140625" style="4" bestFit="1" customWidth="1"/>
    <col min="11006" max="11007" width="7.7109375" style="4" bestFit="1" customWidth="1"/>
    <col min="11008" max="11008" width="11.28515625" style="4" bestFit="1" customWidth="1"/>
    <col min="11009" max="11010" width="10.28515625" style="4" customWidth="1"/>
    <col min="11011" max="11011" width="8.85546875" style="4" customWidth="1"/>
    <col min="11012" max="11012" width="10.7109375" style="4" customWidth="1"/>
    <col min="11013" max="11013" width="8.140625" style="4" customWidth="1"/>
    <col min="11014" max="11014" width="11.5703125" style="4" customWidth="1"/>
    <col min="11015" max="11015" width="8" style="4" bestFit="1" customWidth="1"/>
    <col min="11016" max="11017" width="9.140625" style="4"/>
    <col min="11018" max="11018" width="10.42578125" style="4" customWidth="1"/>
    <col min="11019" max="11255" width="9.140625" style="4"/>
    <col min="11256" max="11256" width="66.140625" style="4" customWidth="1"/>
    <col min="11257" max="11257" width="11.5703125" style="4" bestFit="1" customWidth="1"/>
    <col min="11258" max="11261" width="8.140625" style="4" bestFit="1" customWidth="1"/>
    <col min="11262" max="11263" width="7.7109375" style="4" bestFit="1" customWidth="1"/>
    <col min="11264" max="11264" width="11.28515625" style="4" bestFit="1" customWidth="1"/>
    <col min="11265" max="11266" width="10.28515625" style="4" customWidth="1"/>
    <col min="11267" max="11267" width="8.85546875" style="4" customWidth="1"/>
    <col min="11268" max="11268" width="10.7109375" style="4" customWidth="1"/>
    <col min="11269" max="11269" width="8.140625" style="4" customWidth="1"/>
    <col min="11270" max="11270" width="11.5703125" style="4" customWidth="1"/>
    <col min="11271" max="11271" width="8" style="4" bestFit="1" customWidth="1"/>
    <col min="11272" max="11273" width="9.140625" style="4"/>
    <col min="11274" max="11274" width="10.42578125" style="4" customWidth="1"/>
    <col min="11275" max="11511" width="9.140625" style="4"/>
    <col min="11512" max="11512" width="66.140625" style="4" customWidth="1"/>
    <col min="11513" max="11513" width="11.5703125" style="4" bestFit="1" customWidth="1"/>
    <col min="11514" max="11517" width="8.140625" style="4" bestFit="1" customWidth="1"/>
    <col min="11518" max="11519" width="7.7109375" style="4" bestFit="1" customWidth="1"/>
    <col min="11520" max="11520" width="11.28515625" style="4" bestFit="1" customWidth="1"/>
    <col min="11521" max="11522" width="10.28515625" style="4" customWidth="1"/>
    <col min="11523" max="11523" width="8.85546875" style="4" customWidth="1"/>
    <col min="11524" max="11524" width="10.7109375" style="4" customWidth="1"/>
    <col min="11525" max="11525" width="8.140625" style="4" customWidth="1"/>
    <col min="11526" max="11526" width="11.5703125" style="4" customWidth="1"/>
    <col min="11527" max="11527" width="8" style="4" bestFit="1" customWidth="1"/>
    <col min="11528" max="11529" width="9.140625" style="4"/>
    <col min="11530" max="11530" width="10.42578125" style="4" customWidth="1"/>
    <col min="11531" max="11767" width="9.140625" style="4"/>
    <col min="11768" max="11768" width="66.140625" style="4" customWidth="1"/>
    <col min="11769" max="11769" width="11.5703125" style="4" bestFit="1" customWidth="1"/>
    <col min="11770" max="11773" width="8.140625" style="4" bestFit="1" customWidth="1"/>
    <col min="11774" max="11775" width="7.7109375" style="4" bestFit="1" customWidth="1"/>
    <col min="11776" max="11776" width="11.28515625" style="4" bestFit="1" customWidth="1"/>
    <col min="11777" max="11778" width="10.28515625" style="4" customWidth="1"/>
    <col min="11779" max="11779" width="8.85546875" style="4" customWidth="1"/>
    <col min="11780" max="11780" width="10.7109375" style="4" customWidth="1"/>
    <col min="11781" max="11781" width="8.140625" style="4" customWidth="1"/>
    <col min="11782" max="11782" width="11.5703125" style="4" customWidth="1"/>
    <col min="11783" max="11783" width="8" style="4" bestFit="1" customWidth="1"/>
    <col min="11784" max="11785" width="9.140625" style="4"/>
    <col min="11786" max="11786" width="10.42578125" style="4" customWidth="1"/>
    <col min="11787" max="12023" width="9.140625" style="4"/>
    <col min="12024" max="12024" width="66.140625" style="4" customWidth="1"/>
    <col min="12025" max="12025" width="11.5703125" style="4" bestFit="1" customWidth="1"/>
    <col min="12026" max="12029" width="8.140625" style="4" bestFit="1" customWidth="1"/>
    <col min="12030" max="12031" width="7.7109375" style="4" bestFit="1" customWidth="1"/>
    <col min="12032" max="12032" width="11.28515625" style="4" bestFit="1" customWidth="1"/>
    <col min="12033" max="12034" width="10.28515625" style="4" customWidth="1"/>
    <col min="12035" max="12035" width="8.85546875" style="4" customWidth="1"/>
    <col min="12036" max="12036" width="10.7109375" style="4" customWidth="1"/>
    <col min="12037" max="12037" width="8.140625" style="4" customWidth="1"/>
    <col min="12038" max="12038" width="11.5703125" style="4" customWidth="1"/>
    <col min="12039" max="12039" width="8" style="4" bestFit="1" customWidth="1"/>
    <col min="12040" max="12041" width="9.140625" style="4"/>
    <col min="12042" max="12042" width="10.42578125" style="4" customWidth="1"/>
    <col min="12043" max="12279" width="9.140625" style="4"/>
    <col min="12280" max="12280" width="66.140625" style="4" customWidth="1"/>
    <col min="12281" max="12281" width="11.5703125" style="4" bestFit="1" customWidth="1"/>
    <col min="12282" max="12285" width="8.140625" style="4" bestFit="1" customWidth="1"/>
    <col min="12286" max="12287" width="7.7109375" style="4" bestFit="1" customWidth="1"/>
    <col min="12288" max="12288" width="11.28515625" style="4" bestFit="1" customWidth="1"/>
    <col min="12289" max="12290" width="10.28515625" style="4" customWidth="1"/>
    <col min="12291" max="12291" width="8.85546875" style="4" customWidth="1"/>
    <col min="12292" max="12292" width="10.7109375" style="4" customWidth="1"/>
    <col min="12293" max="12293" width="8.140625" style="4" customWidth="1"/>
    <col min="12294" max="12294" width="11.5703125" style="4" customWidth="1"/>
    <col min="12295" max="12295" width="8" style="4" bestFit="1" customWidth="1"/>
    <col min="12296" max="12297" width="9.140625" style="4"/>
    <col min="12298" max="12298" width="10.42578125" style="4" customWidth="1"/>
    <col min="12299" max="12535" width="9.140625" style="4"/>
    <col min="12536" max="12536" width="66.140625" style="4" customWidth="1"/>
    <col min="12537" max="12537" width="11.5703125" style="4" bestFit="1" customWidth="1"/>
    <col min="12538" max="12541" width="8.140625" style="4" bestFit="1" customWidth="1"/>
    <col min="12542" max="12543" width="7.7109375" style="4" bestFit="1" customWidth="1"/>
    <col min="12544" max="12544" width="11.28515625" style="4" bestFit="1" customWidth="1"/>
    <col min="12545" max="12546" width="10.28515625" style="4" customWidth="1"/>
    <col min="12547" max="12547" width="8.85546875" style="4" customWidth="1"/>
    <col min="12548" max="12548" width="10.7109375" style="4" customWidth="1"/>
    <col min="12549" max="12549" width="8.140625" style="4" customWidth="1"/>
    <col min="12550" max="12550" width="11.5703125" style="4" customWidth="1"/>
    <col min="12551" max="12551" width="8" style="4" bestFit="1" customWidth="1"/>
    <col min="12552" max="12553" width="9.140625" style="4"/>
    <col min="12554" max="12554" width="10.42578125" style="4" customWidth="1"/>
    <col min="12555" max="12791" width="9.140625" style="4"/>
    <col min="12792" max="12792" width="66.140625" style="4" customWidth="1"/>
    <col min="12793" max="12793" width="11.5703125" style="4" bestFit="1" customWidth="1"/>
    <col min="12794" max="12797" width="8.140625" style="4" bestFit="1" customWidth="1"/>
    <col min="12798" max="12799" width="7.7109375" style="4" bestFit="1" customWidth="1"/>
    <col min="12800" max="12800" width="11.28515625" style="4" bestFit="1" customWidth="1"/>
    <col min="12801" max="12802" width="10.28515625" style="4" customWidth="1"/>
    <col min="12803" max="12803" width="8.85546875" style="4" customWidth="1"/>
    <col min="12804" max="12804" width="10.7109375" style="4" customWidth="1"/>
    <col min="12805" max="12805" width="8.140625" style="4" customWidth="1"/>
    <col min="12806" max="12806" width="11.5703125" style="4" customWidth="1"/>
    <col min="12807" max="12807" width="8" style="4" bestFit="1" customWidth="1"/>
    <col min="12808" max="12809" width="9.140625" style="4"/>
    <col min="12810" max="12810" width="10.42578125" style="4" customWidth="1"/>
    <col min="12811" max="13047" width="9.140625" style="4"/>
    <col min="13048" max="13048" width="66.140625" style="4" customWidth="1"/>
    <col min="13049" max="13049" width="11.5703125" style="4" bestFit="1" customWidth="1"/>
    <col min="13050" max="13053" width="8.140625" style="4" bestFit="1" customWidth="1"/>
    <col min="13054" max="13055" width="7.7109375" style="4" bestFit="1" customWidth="1"/>
    <col min="13056" max="13056" width="11.28515625" style="4" bestFit="1" customWidth="1"/>
    <col min="13057" max="13058" width="10.28515625" style="4" customWidth="1"/>
    <col min="13059" max="13059" width="8.85546875" style="4" customWidth="1"/>
    <col min="13060" max="13060" width="10.7109375" style="4" customWidth="1"/>
    <col min="13061" max="13061" width="8.140625" style="4" customWidth="1"/>
    <col min="13062" max="13062" width="11.5703125" style="4" customWidth="1"/>
    <col min="13063" max="13063" width="8" style="4" bestFit="1" customWidth="1"/>
    <col min="13064" max="13065" width="9.140625" style="4"/>
    <col min="13066" max="13066" width="10.42578125" style="4" customWidth="1"/>
    <col min="13067" max="13303" width="9.140625" style="4"/>
    <col min="13304" max="13304" width="66.140625" style="4" customWidth="1"/>
    <col min="13305" max="13305" width="11.5703125" style="4" bestFit="1" customWidth="1"/>
    <col min="13306" max="13309" width="8.140625" style="4" bestFit="1" customWidth="1"/>
    <col min="13310" max="13311" width="7.7109375" style="4" bestFit="1" customWidth="1"/>
    <col min="13312" max="13312" width="11.28515625" style="4" bestFit="1" customWidth="1"/>
    <col min="13313" max="13314" width="10.28515625" style="4" customWidth="1"/>
    <col min="13315" max="13315" width="8.85546875" style="4" customWidth="1"/>
    <col min="13316" max="13316" width="10.7109375" style="4" customWidth="1"/>
    <col min="13317" max="13317" width="8.140625" style="4" customWidth="1"/>
    <col min="13318" max="13318" width="11.5703125" style="4" customWidth="1"/>
    <col min="13319" max="13319" width="8" style="4" bestFit="1" customWidth="1"/>
    <col min="13320" max="13321" width="9.140625" style="4"/>
    <col min="13322" max="13322" width="10.42578125" style="4" customWidth="1"/>
    <col min="13323" max="13559" width="9.140625" style="4"/>
    <col min="13560" max="13560" width="66.140625" style="4" customWidth="1"/>
    <col min="13561" max="13561" width="11.5703125" style="4" bestFit="1" customWidth="1"/>
    <col min="13562" max="13565" width="8.140625" style="4" bestFit="1" customWidth="1"/>
    <col min="13566" max="13567" width="7.7109375" style="4" bestFit="1" customWidth="1"/>
    <col min="13568" max="13568" width="11.28515625" style="4" bestFit="1" customWidth="1"/>
    <col min="13569" max="13570" width="10.28515625" style="4" customWidth="1"/>
    <col min="13571" max="13571" width="8.85546875" style="4" customWidth="1"/>
    <col min="13572" max="13572" width="10.7109375" style="4" customWidth="1"/>
    <col min="13573" max="13573" width="8.140625" style="4" customWidth="1"/>
    <col min="13574" max="13574" width="11.5703125" style="4" customWidth="1"/>
    <col min="13575" max="13575" width="8" style="4" bestFit="1" customWidth="1"/>
    <col min="13576" max="13577" width="9.140625" style="4"/>
    <col min="13578" max="13578" width="10.42578125" style="4" customWidth="1"/>
    <col min="13579" max="13815" width="9.140625" style="4"/>
    <col min="13816" max="13816" width="66.140625" style="4" customWidth="1"/>
    <col min="13817" max="13817" width="11.5703125" style="4" bestFit="1" customWidth="1"/>
    <col min="13818" max="13821" width="8.140625" style="4" bestFit="1" customWidth="1"/>
    <col min="13822" max="13823" width="7.7109375" style="4" bestFit="1" customWidth="1"/>
    <col min="13824" max="13824" width="11.28515625" style="4" bestFit="1" customWidth="1"/>
    <col min="13825" max="13826" width="10.28515625" style="4" customWidth="1"/>
    <col min="13827" max="13827" width="8.85546875" style="4" customWidth="1"/>
    <col min="13828" max="13828" width="10.7109375" style="4" customWidth="1"/>
    <col min="13829" max="13829" width="8.140625" style="4" customWidth="1"/>
    <col min="13830" max="13830" width="11.5703125" style="4" customWidth="1"/>
    <col min="13831" max="13831" width="8" style="4" bestFit="1" customWidth="1"/>
    <col min="13832" max="13833" width="9.140625" style="4"/>
    <col min="13834" max="13834" width="10.42578125" style="4" customWidth="1"/>
    <col min="13835" max="14071" width="9.140625" style="4"/>
    <col min="14072" max="14072" width="66.140625" style="4" customWidth="1"/>
    <col min="14073" max="14073" width="11.5703125" style="4" bestFit="1" customWidth="1"/>
    <col min="14074" max="14077" width="8.140625" style="4" bestFit="1" customWidth="1"/>
    <col min="14078" max="14079" width="7.7109375" style="4" bestFit="1" customWidth="1"/>
    <col min="14080" max="14080" width="11.28515625" style="4" bestFit="1" customWidth="1"/>
    <col min="14081" max="14082" width="10.28515625" style="4" customWidth="1"/>
    <col min="14083" max="14083" width="8.85546875" style="4" customWidth="1"/>
    <col min="14084" max="14084" width="10.7109375" style="4" customWidth="1"/>
    <col min="14085" max="14085" width="8.140625" style="4" customWidth="1"/>
    <col min="14086" max="14086" width="11.5703125" style="4" customWidth="1"/>
    <col min="14087" max="14087" width="8" style="4" bestFit="1" customWidth="1"/>
    <col min="14088" max="14089" width="9.140625" style="4"/>
    <col min="14090" max="14090" width="10.42578125" style="4" customWidth="1"/>
    <col min="14091" max="14327" width="9.140625" style="4"/>
    <col min="14328" max="14328" width="66.140625" style="4" customWidth="1"/>
    <col min="14329" max="14329" width="11.5703125" style="4" bestFit="1" customWidth="1"/>
    <col min="14330" max="14333" width="8.140625" style="4" bestFit="1" customWidth="1"/>
    <col min="14334" max="14335" width="7.7109375" style="4" bestFit="1" customWidth="1"/>
    <col min="14336" max="14336" width="11.28515625" style="4" bestFit="1" customWidth="1"/>
    <col min="14337" max="14338" width="10.28515625" style="4" customWidth="1"/>
    <col min="14339" max="14339" width="8.85546875" style="4" customWidth="1"/>
    <col min="14340" max="14340" width="10.7109375" style="4" customWidth="1"/>
    <col min="14341" max="14341" width="8.140625" style="4" customWidth="1"/>
    <col min="14342" max="14342" width="11.5703125" style="4" customWidth="1"/>
    <col min="14343" max="14343" width="8" style="4" bestFit="1" customWidth="1"/>
    <col min="14344" max="14345" width="9.140625" style="4"/>
    <col min="14346" max="14346" width="10.42578125" style="4" customWidth="1"/>
    <col min="14347" max="14583" width="9.140625" style="4"/>
    <col min="14584" max="14584" width="66.140625" style="4" customWidth="1"/>
    <col min="14585" max="14585" width="11.5703125" style="4" bestFit="1" customWidth="1"/>
    <col min="14586" max="14589" width="8.140625" style="4" bestFit="1" customWidth="1"/>
    <col min="14590" max="14591" width="7.7109375" style="4" bestFit="1" customWidth="1"/>
    <col min="14592" max="14592" width="11.28515625" style="4" bestFit="1" customWidth="1"/>
    <col min="14593" max="14594" width="10.28515625" style="4" customWidth="1"/>
    <col min="14595" max="14595" width="8.85546875" style="4" customWidth="1"/>
    <col min="14596" max="14596" width="10.7109375" style="4" customWidth="1"/>
    <col min="14597" max="14597" width="8.140625" style="4" customWidth="1"/>
    <col min="14598" max="14598" width="11.5703125" style="4" customWidth="1"/>
    <col min="14599" max="14599" width="8" style="4" bestFit="1" customWidth="1"/>
    <col min="14600" max="14601" width="9.140625" style="4"/>
    <col min="14602" max="14602" width="10.42578125" style="4" customWidth="1"/>
    <col min="14603" max="14839" width="9.140625" style="4"/>
    <col min="14840" max="14840" width="66.140625" style="4" customWidth="1"/>
    <col min="14841" max="14841" width="11.5703125" style="4" bestFit="1" customWidth="1"/>
    <col min="14842" max="14845" width="8.140625" style="4" bestFit="1" customWidth="1"/>
    <col min="14846" max="14847" width="7.7109375" style="4" bestFit="1" customWidth="1"/>
    <col min="14848" max="14848" width="11.28515625" style="4" bestFit="1" customWidth="1"/>
    <col min="14849" max="14850" width="10.28515625" style="4" customWidth="1"/>
    <col min="14851" max="14851" width="8.85546875" style="4" customWidth="1"/>
    <col min="14852" max="14852" width="10.7109375" style="4" customWidth="1"/>
    <col min="14853" max="14853" width="8.140625" style="4" customWidth="1"/>
    <col min="14854" max="14854" width="11.5703125" style="4" customWidth="1"/>
    <col min="14855" max="14855" width="8" style="4" bestFit="1" customWidth="1"/>
    <col min="14856" max="14857" width="9.140625" style="4"/>
    <col min="14858" max="14858" width="10.42578125" style="4" customWidth="1"/>
    <col min="14859" max="15095" width="9.140625" style="4"/>
    <col min="15096" max="15096" width="66.140625" style="4" customWidth="1"/>
    <col min="15097" max="15097" width="11.5703125" style="4" bestFit="1" customWidth="1"/>
    <col min="15098" max="15101" width="8.140625" style="4" bestFit="1" customWidth="1"/>
    <col min="15102" max="15103" width="7.7109375" style="4" bestFit="1" customWidth="1"/>
    <col min="15104" max="15104" width="11.28515625" style="4" bestFit="1" customWidth="1"/>
    <col min="15105" max="15106" width="10.28515625" style="4" customWidth="1"/>
    <col min="15107" max="15107" width="8.85546875" style="4" customWidth="1"/>
    <col min="15108" max="15108" width="10.7109375" style="4" customWidth="1"/>
    <col min="15109" max="15109" width="8.140625" style="4" customWidth="1"/>
    <col min="15110" max="15110" width="11.5703125" style="4" customWidth="1"/>
    <col min="15111" max="15111" width="8" style="4" bestFit="1" customWidth="1"/>
    <col min="15112" max="15113" width="9.140625" style="4"/>
    <col min="15114" max="15114" width="10.42578125" style="4" customWidth="1"/>
    <col min="15115" max="15351" width="9.140625" style="4"/>
    <col min="15352" max="15352" width="66.140625" style="4" customWidth="1"/>
    <col min="15353" max="15353" width="11.5703125" style="4" bestFit="1" customWidth="1"/>
    <col min="15354" max="15357" width="8.140625" style="4" bestFit="1" customWidth="1"/>
    <col min="15358" max="15359" width="7.7109375" style="4" bestFit="1" customWidth="1"/>
    <col min="15360" max="15360" width="11.28515625" style="4" bestFit="1" customWidth="1"/>
    <col min="15361" max="15362" width="10.28515625" style="4" customWidth="1"/>
    <col min="15363" max="15363" width="8.85546875" style="4" customWidth="1"/>
    <col min="15364" max="15364" width="10.7109375" style="4" customWidth="1"/>
    <col min="15365" max="15365" width="8.140625" style="4" customWidth="1"/>
    <col min="15366" max="15366" width="11.5703125" style="4" customWidth="1"/>
    <col min="15367" max="15367" width="8" style="4" bestFit="1" customWidth="1"/>
    <col min="15368" max="15369" width="9.140625" style="4"/>
    <col min="15370" max="15370" width="10.42578125" style="4" customWidth="1"/>
    <col min="15371" max="15607" width="9.140625" style="4"/>
    <col min="15608" max="15608" width="66.140625" style="4" customWidth="1"/>
    <col min="15609" max="15609" width="11.5703125" style="4" bestFit="1" customWidth="1"/>
    <col min="15610" max="15613" width="8.140625" style="4" bestFit="1" customWidth="1"/>
    <col min="15614" max="15615" width="7.7109375" style="4" bestFit="1" customWidth="1"/>
    <col min="15616" max="15616" width="11.28515625" style="4" bestFit="1" customWidth="1"/>
    <col min="15617" max="15618" width="10.28515625" style="4" customWidth="1"/>
    <col min="15619" max="15619" width="8.85546875" style="4" customWidth="1"/>
    <col min="15620" max="15620" width="10.7109375" style="4" customWidth="1"/>
    <col min="15621" max="15621" width="8.140625" style="4" customWidth="1"/>
    <col min="15622" max="15622" width="11.5703125" style="4" customWidth="1"/>
    <col min="15623" max="15623" width="8" style="4" bestFit="1" customWidth="1"/>
    <col min="15624" max="15625" width="9.140625" style="4"/>
    <col min="15626" max="15626" width="10.42578125" style="4" customWidth="1"/>
    <col min="15627" max="15863" width="9.140625" style="4"/>
    <col min="15864" max="15864" width="66.140625" style="4" customWidth="1"/>
    <col min="15865" max="15865" width="11.5703125" style="4" bestFit="1" customWidth="1"/>
    <col min="15866" max="15869" width="8.140625" style="4" bestFit="1" customWidth="1"/>
    <col min="15870" max="15871" width="7.7109375" style="4" bestFit="1" customWidth="1"/>
    <col min="15872" max="15872" width="11.28515625" style="4" bestFit="1" customWidth="1"/>
    <col min="15873" max="15874" width="10.28515625" style="4" customWidth="1"/>
    <col min="15875" max="15875" width="8.85546875" style="4" customWidth="1"/>
    <col min="15876" max="15876" width="10.7109375" style="4" customWidth="1"/>
    <col min="15877" max="15877" width="8.140625" style="4" customWidth="1"/>
    <col min="15878" max="15878" width="11.5703125" style="4" customWidth="1"/>
    <col min="15879" max="15879" width="8" style="4" bestFit="1" customWidth="1"/>
    <col min="15880" max="15881" width="9.140625" style="4"/>
    <col min="15882" max="15882" width="10.42578125" style="4" customWidth="1"/>
    <col min="15883" max="16119" width="9.140625" style="4"/>
    <col min="16120" max="16120" width="66.140625" style="4" customWidth="1"/>
    <col min="16121" max="16121" width="11.5703125" style="4" bestFit="1" customWidth="1"/>
    <col min="16122" max="16125" width="8.140625" style="4" bestFit="1" customWidth="1"/>
    <col min="16126" max="16127" width="7.7109375" style="4" bestFit="1" customWidth="1"/>
    <col min="16128" max="16128" width="11.28515625" style="4" bestFit="1" customWidth="1"/>
    <col min="16129" max="16130" width="10.28515625" style="4" customWidth="1"/>
    <col min="16131" max="16131" width="8.85546875" style="4" customWidth="1"/>
    <col min="16132" max="16132" width="10.7109375" style="4" customWidth="1"/>
    <col min="16133" max="16133" width="8.140625" style="4" customWidth="1"/>
    <col min="16134" max="16134" width="11.5703125" style="4" customWidth="1"/>
    <col min="16135" max="16135" width="8" style="4" bestFit="1" customWidth="1"/>
    <col min="16136" max="16137" width="9.140625" style="4"/>
    <col min="16138" max="16138" width="10.42578125" style="4" customWidth="1"/>
    <col min="16139" max="16384" width="9.140625" style="4"/>
  </cols>
  <sheetData>
    <row r="1" spans="1:17" ht="18.75" customHeight="1" x14ac:dyDescent="0.3">
      <c r="A1" s="1" t="s">
        <v>0</v>
      </c>
      <c r="C1" s="3"/>
      <c r="N1" s="116" t="s">
        <v>1</v>
      </c>
      <c r="O1" s="116"/>
    </row>
    <row r="2" spans="1:17" ht="24.75" customHeight="1" x14ac:dyDescent="0.3">
      <c r="B2" s="117" t="s">
        <v>2</v>
      </c>
      <c r="C2" s="117"/>
    </row>
    <row r="3" spans="1:17" ht="16.5" customHeight="1" thickBot="1" x14ac:dyDescent="0.25">
      <c r="B3" s="5"/>
      <c r="C3" s="6"/>
      <c r="H3" s="118" t="s">
        <v>3</v>
      </c>
      <c r="I3" s="118"/>
      <c r="J3" s="118"/>
      <c r="K3" s="7"/>
      <c r="L3" s="7"/>
      <c r="M3" s="7"/>
    </row>
    <row r="4" spans="1:17" ht="47.25" customHeight="1" x14ac:dyDescent="0.25">
      <c r="A4" s="119" t="s">
        <v>4</v>
      </c>
      <c r="B4" s="121" t="s">
        <v>5</v>
      </c>
      <c r="C4" s="123" t="s">
        <v>6</v>
      </c>
      <c r="D4" s="125" t="s">
        <v>7</v>
      </c>
      <c r="E4" s="125"/>
      <c r="F4" s="125"/>
      <c r="G4" s="125"/>
      <c r="H4" s="125"/>
      <c r="I4" s="125"/>
      <c r="J4" s="125"/>
      <c r="K4" s="125"/>
      <c r="L4" s="126" t="s">
        <v>8</v>
      </c>
      <c r="M4" s="127"/>
      <c r="N4" s="130" t="s">
        <v>9</v>
      </c>
      <c r="O4" s="131"/>
      <c r="P4" s="130" t="s">
        <v>10</v>
      </c>
      <c r="Q4" s="131"/>
    </row>
    <row r="5" spans="1:17" ht="31.5" x14ac:dyDescent="0.25">
      <c r="A5" s="120"/>
      <c r="B5" s="122"/>
      <c r="C5" s="124"/>
      <c r="D5" s="132" t="s">
        <v>11</v>
      </c>
      <c r="E5" s="133"/>
      <c r="F5" s="132" t="s">
        <v>12</v>
      </c>
      <c r="G5" s="133"/>
      <c r="H5" s="132" t="s">
        <v>13</v>
      </c>
      <c r="I5" s="133"/>
      <c r="J5" s="134" t="s">
        <v>14</v>
      </c>
      <c r="K5" s="135"/>
      <c r="L5" s="128"/>
      <c r="M5" s="129"/>
      <c r="N5" s="8" t="s">
        <v>15</v>
      </c>
      <c r="O5" s="9" t="s">
        <v>16</v>
      </c>
      <c r="P5" s="8" t="s">
        <v>15</v>
      </c>
      <c r="Q5" s="9" t="s">
        <v>16</v>
      </c>
    </row>
    <row r="6" spans="1:17" ht="15.75" x14ac:dyDescent="0.25">
      <c r="A6" s="10"/>
      <c r="B6" s="11"/>
      <c r="C6" s="12" t="s">
        <v>17</v>
      </c>
      <c r="D6" s="9" t="s">
        <v>18</v>
      </c>
      <c r="E6" s="13" t="s">
        <v>19</v>
      </c>
      <c r="F6" s="9" t="s">
        <v>18</v>
      </c>
      <c r="G6" s="13" t="s">
        <v>19</v>
      </c>
      <c r="H6" s="9" t="s">
        <v>18</v>
      </c>
      <c r="I6" s="13" t="s">
        <v>19</v>
      </c>
      <c r="J6" s="14" t="s">
        <v>18</v>
      </c>
      <c r="K6" s="13" t="s">
        <v>19</v>
      </c>
      <c r="L6" s="14" t="s">
        <v>18</v>
      </c>
      <c r="M6" s="9" t="s">
        <v>19</v>
      </c>
      <c r="N6" s="15"/>
      <c r="O6" s="16"/>
      <c r="P6" s="16"/>
      <c r="Q6" s="17"/>
    </row>
    <row r="7" spans="1:17" ht="15.75" customHeight="1" x14ac:dyDescent="0.25">
      <c r="A7" s="10"/>
      <c r="B7" s="18" t="s">
        <v>20</v>
      </c>
      <c r="C7" s="19"/>
      <c r="D7" s="20"/>
      <c r="E7" s="21"/>
      <c r="F7" s="20"/>
      <c r="G7" s="22"/>
      <c r="H7" s="20"/>
      <c r="I7" s="22"/>
      <c r="J7" s="20"/>
      <c r="K7" s="23"/>
      <c r="L7" s="20"/>
      <c r="M7" s="22"/>
      <c r="N7" s="24"/>
      <c r="O7" s="24"/>
      <c r="P7" s="24"/>
      <c r="Q7" s="25"/>
    </row>
    <row r="8" spans="1:17" ht="15.75" x14ac:dyDescent="0.25">
      <c r="A8" s="10"/>
      <c r="B8" s="26" t="s">
        <v>21</v>
      </c>
      <c r="C8" s="27">
        <v>251</v>
      </c>
      <c r="D8" s="20"/>
      <c r="E8" s="28">
        <v>251</v>
      </c>
      <c r="F8" s="20"/>
      <c r="G8" s="22">
        <v>252</v>
      </c>
      <c r="H8" s="20"/>
      <c r="I8" s="28">
        <v>253</v>
      </c>
      <c r="J8" s="20"/>
      <c r="K8" s="29">
        <v>253</v>
      </c>
      <c r="L8" s="20"/>
      <c r="M8" s="22">
        <v>252</v>
      </c>
      <c r="N8" s="24"/>
      <c r="O8" s="24"/>
      <c r="P8" s="30">
        <f>M8-C8</f>
        <v>1</v>
      </c>
      <c r="Q8" s="31">
        <f>M8/C8</f>
        <v>1.0039840637450199</v>
      </c>
    </row>
    <row r="9" spans="1:17" ht="15.75" x14ac:dyDescent="0.25">
      <c r="A9" s="10"/>
      <c r="B9" s="26" t="s">
        <v>22</v>
      </c>
      <c r="C9" s="27">
        <v>24</v>
      </c>
      <c r="D9" s="20"/>
      <c r="E9" s="28">
        <f>26-1</f>
        <v>25</v>
      </c>
      <c r="F9" s="20"/>
      <c r="G9" s="28">
        <f>26-1</f>
        <v>25</v>
      </c>
      <c r="H9" s="20"/>
      <c r="I9" s="32">
        <f>27-1</f>
        <v>26</v>
      </c>
      <c r="J9" s="20"/>
      <c r="K9" s="29">
        <f>29-1</f>
        <v>28</v>
      </c>
      <c r="L9" s="20"/>
      <c r="M9" s="33">
        <v>26</v>
      </c>
      <c r="N9" s="24"/>
      <c r="O9" s="24"/>
      <c r="P9" s="30">
        <f t="shared" ref="P9:P21" si="0">M9-C9</f>
        <v>2</v>
      </c>
      <c r="Q9" s="31">
        <f t="shared" ref="Q9:Q21" si="1">M9/C9</f>
        <v>1.0833333333333333</v>
      </c>
    </row>
    <row r="10" spans="1:17" ht="15.75" x14ac:dyDescent="0.25">
      <c r="A10" s="10"/>
      <c r="B10" s="18" t="s">
        <v>23</v>
      </c>
      <c r="C10" s="34">
        <v>674</v>
      </c>
      <c r="D10" s="20"/>
      <c r="E10" s="29">
        <f>499367.29/3/E8</f>
        <v>663.17037184594949</v>
      </c>
      <c r="F10" s="20"/>
      <c r="G10" s="29">
        <f>531312.42/3/G8</f>
        <v>702.79420634920643</v>
      </c>
      <c r="H10" s="20"/>
      <c r="I10" s="29">
        <f>544199.96/3/I8</f>
        <v>716.99599472990781</v>
      </c>
      <c r="J10" s="20"/>
      <c r="K10" s="29">
        <f>535299/3/K8</f>
        <v>705.26877470355726</v>
      </c>
      <c r="L10" s="20"/>
      <c r="M10" s="33">
        <f>2110179/M8/12</f>
        <v>697.8105158730159</v>
      </c>
      <c r="N10" s="24"/>
      <c r="O10" s="24"/>
      <c r="P10" s="30">
        <f t="shared" si="0"/>
        <v>23.810515873015902</v>
      </c>
      <c r="Q10" s="31">
        <f t="shared" si="1"/>
        <v>1.0353271748857802</v>
      </c>
    </row>
    <row r="11" spans="1:17" ht="15.75" x14ac:dyDescent="0.25">
      <c r="A11" s="10"/>
      <c r="B11" s="26" t="s">
        <v>24</v>
      </c>
      <c r="C11" s="34">
        <v>884</v>
      </c>
      <c r="D11" s="20"/>
      <c r="E11" s="29">
        <f>(67525.32+1935-2065*3)/3/E9</f>
        <v>843.53760000000011</v>
      </c>
      <c r="F11" s="20"/>
      <c r="G11" s="29">
        <f>(78028.26-2065*2-2065-2220)/3/G9</f>
        <v>928.17679999999996</v>
      </c>
      <c r="H11" s="20"/>
      <c r="I11" s="29">
        <f>(74913.43+1982.82-2220*3)/3/I9</f>
        <v>900.46474358974353</v>
      </c>
      <c r="J11" s="20"/>
      <c r="K11" s="29">
        <f>(74421-2220*3)/3/K9</f>
        <v>806.67857142857144</v>
      </c>
      <c r="L11" s="20"/>
      <c r="M11" s="33">
        <f>(298806-2065*3-2065*2-2065-2220-2220*3-2220*3)/M9/12</f>
        <v>868.19230769230762</v>
      </c>
      <c r="N11" s="24"/>
      <c r="O11" s="24"/>
      <c r="P11" s="30">
        <f t="shared" si="0"/>
        <v>-15.807692307692378</v>
      </c>
      <c r="Q11" s="31">
        <f t="shared" si="1"/>
        <v>0.98211799512704478</v>
      </c>
    </row>
    <row r="12" spans="1:17" ht="33.75" customHeight="1" x14ac:dyDescent="0.25">
      <c r="A12" s="35" t="s">
        <v>25</v>
      </c>
      <c r="B12" s="36" t="s">
        <v>26</v>
      </c>
      <c r="C12" s="10"/>
      <c r="D12" s="10"/>
      <c r="E12" s="37"/>
      <c r="F12" s="10"/>
      <c r="G12" s="38"/>
      <c r="H12" s="10"/>
      <c r="I12" s="39"/>
      <c r="J12" s="10"/>
      <c r="K12" s="40"/>
      <c r="L12" s="41"/>
      <c r="M12" s="41"/>
      <c r="N12" s="16"/>
      <c r="O12" s="16"/>
      <c r="P12" s="30"/>
      <c r="Q12" s="31"/>
    </row>
    <row r="13" spans="1:17" ht="15.75" x14ac:dyDescent="0.25">
      <c r="A13" s="10"/>
      <c r="B13" s="26" t="s">
        <v>27</v>
      </c>
      <c r="C13" s="42"/>
      <c r="D13" s="10"/>
      <c r="E13" s="37"/>
      <c r="F13" s="10"/>
      <c r="G13" s="38"/>
      <c r="H13" s="10"/>
      <c r="I13" s="39"/>
      <c r="J13" s="10"/>
      <c r="K13" s="43"/>
      <c r="L13" s="44"/>
      <c r="M13" s="44"/>
      <c r="N13" s="45"/>
      <c r="O13" s="45"/>
      <c r="P13" s="30"/>
      <c r="Q13" s="31"/>
    </row>
    <row r="14" spans="1:17" ht="27.75" x14ac:dyDescent="0.25">
      <c r="A14" s="10" t="s">
        <v>28</v>
      </c>
      <c r="B14" s="26" t="s">
        <v>29</v>
      </c>
      <c r="C14" s="24">
        <v>378078</v>
      </c>
      <c r="D14" s="24">
        <v>156737</v>
      </c>
      <c r="E14" s="46">
        <v>163210</v>
      </c>
      <c r="F14" s="24">
        <v>42307</v>
      </c>
      <c r="G14" s="47">
        <v>55954</v>
      </c>
      <c r="H14" s="24">
        <v>24176</v>
      </c>
      <c r="I14" s="46">
        <v>23670</v>
      </c>
      <c r="J14" s="24">
        <v>133115</v>
      </c>
      <c r="K14" s="47">
        <v>123032</v>
      </c>
      <c r="L14" s="48">
        <f>D14+F14+H14+J14</f>
        <v>356335</v>
      </c>
      <c r="M14" s="48">
        <f>E14+G14+I14+K14</f>
        <v>365866</v>
      </c>
      <c r="N14" s="16">
        <f>M14-L14</f>
        <v>9531</v>
      </c>
      <c r="O14" s="49">
        <f>M14/L14</f>
        <v>1.0267473023980243</v>
      </c>
      <c r="P14" s="50">
        <f t="shared" si="0"/>
        <v>-12212</v>
      </c>
      <c r="Q14" s="31">
        <f t="shared" si="1"/>
        <v>0.96769978681647706</v>
      </c>
    </row>
    <row r="15" spans="1:17" ht="15.75" customHeight="1" x14ac:dyDescent="0.25">
      <c r="A15" s="10" t="s">
        <v>30</v>
      </c>
      <c r="B15" s="26" t="s">
        <v>31</v>
      </c>
      <c r="C15" s="24">
        <v>28446</v>
      </c>
      <c r="D15" s="24">
        <v>11377</v>
      </c>
      <c r="E15" s="46">
        <v>10531</v>
      </c>
      <c r="F15" s="24">
        <v>4270</v>
      </c>
      <c r="G15" s="47">
        <v>5744</v>
      </c>
      <c r="H15" s="24">
        <v>2528</v>
      </c>
      <c r="I15" s="46">
        <v>1799</v>
      </c>
      <c r="J15" s="24">
        <v>3917</v>
      </c>
      <c r="K15" s="47">
        <v>2727</v>
      </c>
      <c r="L15" s="48">
        <f>D15+F15+H15+J15</f>
        <v>22092</v>
      </c>
      <c r="M15" s="48">
        <f>E15+G15+I15+K15</f>
        <v>20801</v>
      </c>
      <c r="N15" s="16">
        <f t="shared" ref="N15:N21" si="2">M15-L15</f>
        <v>-1291</v>
      </c>
      <c r="O15" s="49">
        <f t="shared" ref="O15:O21" si="3">M15/L15</f>
        <v>0.94156255658156796</v>
      </c>
      <c r="P15" s="50">
        <f t="shared" si="0"/>
        <v>-7645</v>
      </c>
      <c r="Q15" s="31">
        <f t="shared" si="1"/>
        <v>0.73124516627996905</v>
      </c>
    </row>
    <row r="16" spans="1:17" ht="15.75" x14ac:dyDescent="0.25">
      <c r="A16" s="10"/>
      <c r="B16" s="26" t="s">
        <v>32</v>
      </c>
      <c r="C16" s="24"/>
      <c r="D16" s="24"/>
      <c r="E16" s="51"/>
      <c r="F16" s="24"/>
      <c r="G16" s="47"/>
      <c r="H16" s="24"/>
      <c r="I16" s="52"/>
      <c r="J16" s="24"/>
      <c r="K16" s="47"/>
      <c r="L16" s="48"/>
      <c r="M16" s="53"/>
      <c r="N16" s="16"/>
      <c r="O16" s="49"/>
      <c r="P16" s="30"/>
      <c r="Q16" s="31"/>
    </row>
    <row r="17" spans="1:17" ht="15.75" x14ac:dyDescent="0.25">
      <c r="A17" s="10" t="s">
        <v>33</v>
      </c>
      <c r="B17" s="54" t="s">
        <v>34</v>
      </c>
      <c r="C17" s="55">
        <v>34981.916666666664</v>
      </c>
      <c r="D17" s="24">
        <v>34980</v>
      </c>
      <c r="E17" s="56">
        <v>35019</v>
      </c>
      <c r="F17" s="24">
        <v>34980</v>
      </c>
      <c r="G17" s="47">
        <v>34987</v>
      </c>
      <c r="H17" s="24">
        <v>34980</v>
      </c>
      <c r="I17" s="46">
        <v>34932</v>
      </c>
      <c r="J17" s="24">
        <v>34980</v>
      </c>
      <c r="K17" s="47">
        <v>35036</v>
      </c>
      <c r="L17" s="48">
        <f t="shared" ref="L17:M19" si="4">(D17+F17+H17+J17)/4</f>
        <v>34980</v>
      </c>
      <c r="M17" s="57">
        <f t="shared" si="4"/>
        <v>34993.5</v>
      </c>
      <c r="N17" s="50">
        <f t="shared" si="2"/>
        <v>13.5</v>
      </c>
      <c r="O17" s="49">
        <f t="shared" si="3"/>
        <v>1.0003859348198971</v>
      </c>
      <c r="P17" s="50">
        <f t="shared" si="0"/>
        <v>11.583333333335759</v>
      </c>
      <c r="Q17" s="31">
        <f t="shared" si="1"/>
        <v>1.0003311234614074</v>
      </c>
    </row>
    <row r="18" spans="1:17" ht="15.75" x14ac:dyDescent="0.25">
      <c r="A18" s="10" t="s">
        <v>35</v>
      </c>
      <c r="B18" s="54" t="s">
        <v>36</v>
      </c>
      <c r="C18" s="55">
        <v>38</v>
      </c>
      <c r="D18" s="24">
        <v>38</v>
      </c>
      <c r="E18" s="46">
        <v>40</v>
      </c>
      <c r="F18" s="24">
        <v>38</v>
      </c>
      <c r="G18" s="47">
        <v>40</v>
      </c>
      <c r="H18" s="24">
        <v>38</v>
      </c>
      <c r="I18" s="46">
        <v>40</v>
      </c>
      <c r="J18" s="24">
        <v>38</v>
      </c>
      <c r="K18" s="47">
        <v>40</v>
      </c>
      <c r="L18" s="57">
        <f t="shared" si="4"/>
        <v>38</v>
      </c>
      <c r="M18" s="57">
        <f t="shared" si="4"/>
        <v>40</v>
      </c>
      <c r="N18" s="50">
        <f t="shared" si="2"/>
        <v>2</v>
      </c>
      <c r="O18" s="49">
        <f t="shared" si="3"/>
        <v>1.0526315789473684</v>
      </c>
      <c r="P18" s="30">
        <f t="shared" si="0"/>
        <v>2</v>
      </c>
      <c r="Q18" s="31">
        <f t="shared" si="1"/>
        <v>1.0526315789473684</v>
      </c>
    </row>
    <row r="19" spans="1:17" ht="15.75" x14ac:dyDescent="0.25">
      <c r="A19" s="10" t="s">
        <v>37</v>
      </c>
      <c r="B19" s="54" t="s">
        <v>38</v>
      </c>
      <c r="C19" s="24">
        <v>1</v>
      </c>
      <c r="D19" s="24">
        <v>1</v>
      </c>
      <c r="E19" s="46">
        <v>1</v>
      </c>
      <c r="F19" s="24">
        <v>1</v>
      </c>
      <c r="G19" s="47">
        <v>1</v>
      </c>
      <c r="H19" s="24">
        <v>1</v>
      </c>
      <c r="I19" s="46">
        <v>1</v>
      </c>
      <c r="J19" s="24">
        <v>1</v>
      </c>
      <c r="K19" s="47">
        <v>1</v>
      </c>
      <c r="L19" s="48">
        <f t="shared" si="4"/>
        <v>1</v>
      </c>
      <c r="M19" s="48">
        <f t="shared" si="4"/>
        <v>1</v>
      </c>
      <c r="N19" s="16">
        <f t="shared" si="2"/>
        <v>0</v>
      </c>
      <c r="O19" s="49">
        <f t="shared" si="3"/>
        <v>1</v>
      </c>
      <c r="P19" s="30">
        <f t="shared" si="0"/>
        <v>0</v>
      </c>
      <c r="Q19" s="31">
        <f t="shared" si="1"/>
        <v>1</v>
      </c>
    </row>
    <row r="20" spans="1:17" ht="15.75" x14ac:dyDescent="0.25">
      <c r="A20" s="10" t="s">
        <v>39</v>
      </c>
      <c r="B20" s="54" t="s">
        <v>40</v>
      </c>
      <c r="C20" s="24">
        <v>129</v>
      </c>
      <c r="D20" s="24">
        <v>50</v>
      </c>
      <c r="E20" s="46">
        <v>23</v>
      </c>
      <c r="F20" s="24">
        <v>50</v>
      </c>
      <c r="G20" s="47">
        <v>32</v>
      </c>
      <c r="H20" s="24">
        <v>50</v>
      </c>
      <c r="I20" s="46">
        <v>30</v>
      </c>
      <c r="J20" s="24">
        <v>50</v>
      </c>
      <c r="K20" s="47">
        <v>20</v>
      </c>
      <c r="L20" s="48">
        <f>D20+F20+H20+J20</f>
        <v>200</v>
      </c>
      <c r="M20" s="48">
        <f>E20+G20+I20+K20</f>
        <v>105</v>
      </c>
      <c r="N20" s="16">
        <f t="shared" si="2"/>
        <v>-95</v>
      </c>
      <c r="O20" s="49">
        <f t="shared" si="3"/>
        <v>0.52500000000000002</v>
      </c>
      <c r="P20" s="30">
        <f t="shared" si="0"/>
        <v>-24</v>
      </c>
      <c r="Q20" s="31">
        <f t="shared" si="1"/>
        <v>0.81395348837209303</v>
      </c>
    </row>
    <row r="21" spans="1:17" ht="15.75" x14ac:dyDescent="0.25">
      <c r="A21" s="10" t="s">
        <v>41</v>
      </c>
      <c r="B21" s="54" t="s">
        <v>42</v>
      </c>
      <c r="C21" s="24">
        <v>11</v>
      </c>
      <c r="D21" s="24">
        <v>30</v>
      </c>
      <c r="E21" s="46">
        <v>12</v>
      </c>
      <c r="F21" s="24">
        <v>45</v>
      </c>
      <c r="G21" s="47">
        <v>1</v>
      </c>
      <c r="H21" s="24">
        <v>30</v>
      </c>
      <c r="I21" s="46"/>
      <c r="J21" s="24">
        <v>45</v>
      </c>
      <c r="K21" s="47">
        <v>2</v>
      </c>
      <c r="L21" s="48">
        <f>D21+F21+H21+J21</f>
        <v>150</v>
      </c>
      <c r="M21" s="48">
        <f>E21+G21+I21+K21</f>
        <v>15</v>
      </c>
      <c r="N21" s="16">
        <f t="shared" si="2"/>
        <v>-135</v>
      </c>
      <c r="O21" s="49">
        <f t="shared" si="3"/>
        <v>0.1</v>
      </c>
      <c r="P21" s="30">
        <f t="shared" si="0"/>
        <v>4</v>
      </c>
      <c r="Q21" s="31">
        <f t="shared" si="1"/>
        <v>1.3636363636363635</v>
      </c>
    </row>
    <row r="22" spans="1:17" ht="58.5" customHeight="1" x14ac:dyDescent="0.25">
      <c r="A22" s="58" t="s">
        <v>43</v>
      </c>
      <c r="B22" s="59" t="s">
        <v>44</v>
      </c>
      <c r="C22" s="60">
        <f t="shared" ref="C22:M22" si="5">SUM(C23:C39)</f>
        <v>22206.729999999996</v>
      </c>
      <c r="D22" s="60">
        <f t="shared" si="5"/>
        <v>8645.11</v>
      </c>
      <c r="E22" s="61">
        <f t="shared" si="5"/>
        <v>9153.5059999999994</v>
      </c>
      <c r="F22" s="60">
        <f t="shared" si="5"/>
        <v>2592.71</v>
      </c>
      <c r="G22" s="60">
        <f t="shared" si="5"/>
        <v>3478.9069999999992</v>
      </c>
      <c r="H22" s="60">
        <f t="shared" si="5"/>
        <v>1574.82</v>
      </c>
      <c r="I22" s="61">
        <f t="shared" si="5"/>
        <v>1517.7059999999999</v>
      </c>
      <c r="J22" s="60">
        <f t="shared" si="5"/>
        <v>6991.41</v>
      </c>
      <c r="K22" s="60">
        <f t="shared" si="5"/>
        <v>7424.31</v>
      </c>
      <c r="L22" s="60">
        <f t="shared" si="5"/>
        <v>19804.049999999996</v>
      </c>
      <c r="M22" s="60">
        <f t="shared" si="5"/>
        <v>21574.428999999996</v>
      </c>
      <c r="N22" s="62">
        <f>M22-L22</f>
        <v>1770.3790000000008</v>
      </c>
      <c r="O22" s="63">
        <f>M22/L22</f>
        <v>1.0893947955089995</v>
      </c>
      <c r="P22" s="62">
        <f>M22-C22</f>
        <v>-632.30099999999948</v>
      </c>
      <c r="Q22" s="63">
        <f>M22/C22</f>
        <v>0.97152660477251718</v>
      </c>
    </row>
    <row r="23" spans="1:17" ht="21.75" customHeight="1" x14ac:dyDescent="0.25">
      <c r="A23" s="35" t="s">
        <v>45</v>
      </c>
      <c r="B23" s="26" t="s">
        <v>27</v>
      </c>
      <c r="C23" s="24"/>
      <c r="D23" s="24"/>
      <c r="E23" s="51"/>
      <c r="F23" s="24"/>
      <c r="G23" s="47"/>
      <c r="H23" s="24"/>
      <c r="I23" s="52"/>
      <c r="J23" s="24"/>
      <c r="K23" s="47"/>
      <c r="L23" s="48"/>
      <c r="M23" s="53"/>
      <c r="N23" s="16"/>
      <c r="O23" s="49"/>
      <c r="P23" s="16"/>
      <c r="Q23" s="49"/>
    </row>
    <row r="24" spans="1:17" ht="15.75" x14ac:dyDescent="0.25">
      <c r="A24" s="10"/>
      <c r="B24" s="64" t="s">
        <v>46</v>
      </c>
      <c r="C24" s="65">
        <v>18124.5</v>
      </c>
      <c r="D24" s="24">
        <v>7430.9</v>
      </c>
      <c r="E24" s="46">
        <v>7967.9</v>
      </c>
      <c r="F24" s="24">
        <v>2005.8</v>
      </c>
      <c r="G24" s="66">
        <v>2740</v>
      </c>
      <c r="H24" s="65">
        <v>1146.2</v>
      </c>
      <c r="I24" s="67">
        <v>1159</v>
      </c>
      <c r="J24" s="24">
        <v>6310.9</v>
      </c>
      <c r="K24" s="47">
        <v>6234.8</v>
      </c>
      <c r="L24" s="48">
        <f>D24+F24+H24+J24</f>
        <v>16893.8</v>
      </c>
      <c r="M24" s="68">
        <f>E24+G24+I24+K24</f>
        <v>18101.7</v>
      </c>
      <c r="N24" s="30">
        <f>M24-L24</f>
        <v>1207.9000000000015</v>
      </c>
      <c r="O24" s="49">
        <f>M24/L24</f>
        <v>1.0714996034047994</v>
      </c>
      <c r="P24" s="30">
        <f>M24-C24</f>
        <v>-22.799999999999272</v>
      </c>
      <c r="Q24" s="49">
        <f>M24/C24</f>
        <v>0.99874203426301422</v>
      </c>
    </row>
    <row r="25" spans="1:17" ht="29.25" customHeight="1" x14ac:dyDescent="0.25">
      <c r="A25" s="10"/>
      <c r="B25" s="64" t="s">
        <v>47</v>
      </c>
      <c r="C25" s="24">
        <v>2578.8000000000002</v>
      </c>
      <c r="D25" s="24">
        <v>1001.3</v>
      </c>
      <c r="E25" s="46">
        <v>978.2</v>
      </c>
      <c r="F25" s="24">
        <v>403.3</v>
      </c>
      <c r="G25" s="47">
        <v>557.70000000000005</v>
      </c>
      <c r="H25" s="24">
        <v>251.8</v>
      </c>
      <c r="I25" s="46">
        <v>187.2</v>
      </c>
      <c r="J25" s="24">
        <v>391</v>
      </c>
      <c r="K25" s="47">
        <v>278.10000000000002</v>
      </c>
      <c r="L25" s="48">
        <f>D25+F25+H25+J25</f>
        <v>2047.3999999999999</v>
      </c>
      <c r="M25" s="48">
        <f>E25+G25+I25+K25</f>
        <v>2001.2000000000003</v>
      </c>
      <c r="N25" s="30">
        <f t="shared" ref="N25:N39" si="6">M25-L25</f>
        <v>-46.199999999999591</v>
      </c>
      <c r="O25" s="49">
        <f t="shared" ref="O25:O39" si="7">M25/L25</f>
        <v>0.9774347953502005</v>
      </c>
      <c r="P25" s="30">
        <f t="shared" ref="P25:P39" si="8">M25-C25</f>
        <v>-577.59999999999991</v>
      </c>
      <c r="Q25" s="49">
        <f t="shared" ref="Q25:Q39" si="9">M25/C25</f>
        <v>0.77601985419575004</v>
      </c>
    </row>
    <row r="26" spans="1:17" ht="31.5" customHeight="1" x14ac:dyDescent="0.25">
      <c r="A26" s="35" t="s">
        <v>48</v>
      </c>
      <c r="B26" s="26" t="s">
        <v>32</v>
      </c>
      <c r="C26" s="24"/>
      <c r="D26" s="24"/>
      <c r="E26" s="51"/>
      <c r="F26" s="24"/>
      <c r="G26" s="47"/>
      <c r="H26" s="24"/>
      <c r="I26" s="52"/>
      <c r="J26" s="24"/>
      <c r="K26" s="47"/>
      <c r="L26" s="48"/>
      <c r="M26" s="53"/>
      <c r="N26" s="30"/>
      <c r="O26" s="49"/>
      <c r="P26" s="30"/>
      <c r="Q26" s="49"/>
    </row>
    <row r="27" spans="1:17" ht="15.75" x14ac:dyDescent="0.25">
      <c r="A27" s="10"/>
      <c r="B27" s="64" t="s">
        <v>49</v>
      </c>
      <c r="C27" s="65">
        <v>226.7</v>
      </c>
      <c r="D27" s="24">
        <v>56.6</v>
      </c>
      <c r="E27" s="46">
        <v>56.7</v>
      </c>
      <c r="F27" s="24">
        <v>56.6</v>
      </c>
      <c r="G27" s="47">
        <v>56.7</v>
      </c>
      <c r="H27" s="24">
        <v>56.6</v>
      </c>
      <c r="I27" s="46">
        <v>56.6</v>
      </c>
      <c r="J27" s="24">
        <v>56.7</v>
      </c>
      <c r="K27" s="47">
        <v>56.8</v>
      </c>
      <c r="L27" s="48">
        <f t="shared" ref="L27:M31" si="10">D27+F27+H27+J27</f>
        <v>226.5</v>
      </c>
      <c r="M27" s="68">
        <f t="shared" si="10"/>
        <v>226.8</v>
      </c>
      <c r="N27" s="30">
        <f t="shared" si="6"/>
        <v>0.30000000000001137</v>
      </c>
      <c r="O27" s="49">
        <f t="shared" si="7"/>
        <v>1.0013245033112583</v>
      </c>
      <c r="P27" s="30">
        <f t="shared" si="8"/>
        <v>0.10000000000002274</v>
      </c>
      <c r="Q27" s="49">
        <f t="shared" si="9"/>
        <v>1.0004411116012353</v>
      </c>
    </row>
    <row r="28" spans="1:17" ht="15.75" customHeight="1" x14ac:dyDescent="0.25">
      <c r="A28" s="10"/>
      <c r="B28" s="64" t="s">
        <v>50</v>
      </c>
      <c r="C28" s="24">
        <v>299.8</v>
      </c>
      <c r="D28" s="24">
        <v>93.2</v>
      </c>
      <c r="E28" s="46">
        <f>88.6+0.9</f>
        <v>89.5</v>
      </c>
      <c r="F28" s="65">
        <v>63</v>
      </c>
      <c r="G28" s="69">
        <v>58</v>
      </c>
      <c r="H28" s="24">
        <v>56.1</v>
      </c>
      <c r="I28" s="46">
        <v>57.3</v>
      </c>
      <c r="J28" s="65">
        <v>78.3</v>
      </c>
      <c r="K28" s="66">
        <v>79.8</v>
      </c>
      <c r="L28" s="48">
        <f t="shared" si="10"/>
        <v>290.59999999999997</v>
      </c>
      <c r="M28" s="48">
        <f t="shared" si="10"/>
        <v>284.60000000000002</v>
      </c>
      <c r="N28" s="30">
        <f t="shared" si="6"/>
        <v>-5.9999999999999432</v>
      </c>
      <c r="O28" s="49">
        <f t="shared" si="7"/>
        <v>0.97935306262904354</v>
      </c>
      <c r="P28" s="30">
        <f t="shared" si="8"/>
        <v>-15.199999999999989</v>
      </c>
      <c r="Q28" s="49">
        <f t="shared" si="9"/>
        <v>0.94929953302201475</v>
      </c>
    </row>
    <row r="29" spans="1:17" ht="15.75" x14ac:dyDescent="0.25">
      <c r="A29" s="10"/>
      <c r="B29" s="64" t="s">
        <v>51</v>
      </c>
      <c r="C29" s="65">
        <v>56.1</v>
      </c>
      <c r="D29" s="65">
        <v>14</v>
      </c>
      <c r="E29" s="67">
        <v>15</v>
      </c>
      <c r="F29" s="65">
        <v>14</v>
      </c>
      <c r="G29" s="47">
        <v>16.100000000000001</v>
      </c>
      <c r="H29" s="65">
        <v>14</v>
      </c>
      <c r="I29" s="67">
        <v>16.100000000000001</v>
      </c>
      <c r="J29" s="24">
        <v>14.1</v>
      </c>
      <c r="K29" s="47">
        <v>16.100000000000001</v>
      </c>
      <c r="L29" s="68">
        <f t="shared" si="10"/>
        <v>56.1</v>
      </c>
      <c r="M29" s="68">
        <f t="shared" si="10"/>
        <v>63.300000000000004</v>
      </c>
      <c r="N29" s="30">
        <f t="shared" si="6"/>
        <v>7.2000000000000028</v>
      </c>
      <c r="O29" s="49">
        <f t="shared" si="7"/>
        <v>1.1283422459893049</v>
      </c>
      <c r="P29" s="30">
        <f t="shared" si="8"/>
        <v>7.2000000000000028</v>
      </c>
      <c r="Q29" s="49">
        <f t="shared" si="9"/>
        <v>1.1283422459893049</v>
      </c>
    </row>
    <row r="30" spans="1:17" ht="15.75" x14ac:dyDescent="0.25">
      <c r="A30" s="10"/>
      <c r="B30" s="64" t="s">
        <v>52</v>
      </c>
      <c r="C30" s="24">
        <v>0.03</v>
      </c>
      <c r="D30" s="24">
        <v>0.01</v>
      </c>
      <c r="E30" s="46">
        <v>5.0000000000000001E-3</v>
      </c>
      <c r="F30" s="24">
        <v>0.01</v>
      </c>
      <c r="G30" s="47">
        <v>7.0000000000000001E-3</v>
      </c>
      <c r="H30" s="24">
        <v>0.01</v>
      </c>
      <c r="I30" s="46">
        <v>6.0000000000000001E-3</v>
      </c>
      <c r="J30" s="24">
        <v>0.01</v>
      </c>
      <c r="K30" s="47">
        <v>0.01</v>
      </c>
      <c r="L30" s="48">
        <f t="shared" si="10"/>
        <v>0.04</v>
      </c>
      <c r="M30" s="70">
        <f t="shared" si="10"/>
        <v>2.8000000000000004E-2</v>
      </c>
      <c r="N30" s="30">
        <f t="shared" si="6"/>
        <v>-1.1999999999999997E-2</v>
      </c>
      <c r="O30" s="49">
        <f t="shared" si="7"/>
        <v>0.70000000000000007</v>
      </c>
      <c r="P30" s="30">
        <f t="shared" si="8"/>
        <v>-1.9999999999999948E-3</v>
      </c>
      <c r="Q30" s="49">
        <f t="shared" si="9"/>
        <v>0.93333333333333346</v>
      </c>
    </row>
    <row r="31" spans="1:17" ht="15.75" x14ac:dyDescent="0.25">
      <c r="A31" s="10"/>
      <c r="B31" s="64" t="s">
        <v>53</v>
      </c>
      <c r="C31" s="65">
        <v>0</v>
      </c>
      <c r="D31" s="24"/>
      <c r="E31" s="46">
        <v>1E-3</v>
      </c>
      <c r="F31" s="24"/>
      <c r="G31" s="47">
        <v>0</v>
      </c>
      <c r="H31" s="24">
        <v>0.01</v>
      </c>
      <c r="I31" s="46">
        <v>0</v>
      </c>
      <c r="J31" s="24"/>
      <c r="K31" s="47"/>
      <c r="L31" s="48">
        <f t="shared" si="10"/>
        <v>0.01</v>
      </c>
      <c r="M31" s="68">
        <f t="shared" si="10"/>
        <v>1E-3</v>
      </c>
      <c r="N31" s="30">
        <f t="shared" si="6"/>
        <v>-9.0000000000000011E-3</v>
      </c>
      <c r="O31" s="49">
        <f t="shared" si="7"/>
        <v>0.1</v>
      </c>
      <c r="P31" s="30">
        <f t="shared" si="8"/>
        <v>1E-3</v>
      </c>
      <c r="Q31" s="49"/>
    </row>
    <row r="32" spans="1:17" ht="15.75" x14ac:dyDescent="0.25">
      <c r="A32" s="35" t="s">
        <v>54</v>
      </c>
      <c r="B32" s="54" t="s">
        <v>55</v>
      </c>
      <c r="C32" s="24"/>
      <c r="D32" s="24"/>
      <c r="E32" s="51"/>
      <c r="F32" s="24"/>
      <c r="G32" s="47"/>
      <c r="H32" s="24"/>
      <c r="I32" s="52"/>
      <c r="J32" s="24"/>
      <c r="K32" s="47"/>
      <c r="L32" s="48"/>
      <c r="M32" s="53"/>
      <c r="N32" s="30"/>
      <c r="O32" s="49"/>
      <c r="P32" s="30">
        <f t="shared" si="8"/>
        <v>0</v>
      </c>
      <c r="Q32" s="49"/>
    </row>
    <row r="33" spans="1:17" ht="15.75" x14ac:dyDescent="0.25">
      <c r="A33" s="10"/>
      <c r="B33" s="64" t="s">
        <v>56</v>
      </c>
      <c r="C33" s="65">
        <v>38.4</v>
      </c>
      <c r="D33" s="65">
        <v>9</v>
      </c>
      <c r="E33" s="67">
        <v>9</v>
      </c>
      <c r="F33" s="24">
        <v>9</v>
      </c>
      <c r="G33" s="47">
        <v>7.7</v>
      </c>
      <c r="H33" s="24">
        <v>9</v>
      </c>
      <c r="I33" s="46">
        <v>8.5</v>
      </c>
      <c r="J33" s="24">
        <v>8</v>
      </c>
      <c r="K33" s="47">
        <v>6.9</v>
      </c>
      <c r="L33" s="48">
        <f>D33+F33+H33+J33</f>
        <v>35</v>
      </c>
      <c r="M33" s="68">
        <f>E33+G33+I33+K33</f>
        <v>32.1</v>
      </c>
      <c r="N33" s="30">
        <f t="shared" si="6"/>
        <v>-2.8999999999999986</v>
      </c>
      <c r="O33" s="49">
        <f t="shared" si="7"/>
        <v>0.91714285714285715</v>
      </c>
      <c r="P33" s="30">
        <f t="shared" si="8"/>
        <v>-6.2999999999999972</v>
      </c>
      <c r="Q33" s="49">
        <f t="shared" si="9"/>
        <v>0.83593750000000011</v>
      </c>
    </row>
    <row r="34" spans="1:17" ht="15.75" x14ac:dyDescent="0.25">
      <c r="A34" s="10"/>
      <c r="B34" s="64" t="s">
        <v>57</v>
      </c>
      <c r="C34" s="65">
        <v>1.3</v>
      </c>
      <c r="D34" s="24"/>
      <c r="E34" s="46">
        <v>0</v>
      </c>
      <c r="F34" s="24"/>
      <c r="G34" s="47">
        <v>0.1</v>
      </c>
      <c r="H34" s="24"/>
      <c r="I34" s="46"/>
      <c r="J34" s="24"/>
      <c r="K34" s="47">
        <v>0.2</v>
      </c>
      <c r="L34" s="48">
        <f>D34+F34+H34+J34</f>
        <v>0</v>
      </c>
      <c r="M34" s="68">
        <f>E34+G34+I34+K34</f>
        <v>0.30000000000000004</v>
      </c>
      <c r="N34" s="30">
        <f t="shared" si="6"/>
        <v>0.30000000000000004</v>
      </c>
      <c r="O34" s="49"/>
      <c r="P34" s="30">
        <f t="shared" si="8"/>
        <v>-1</v>
      </c>
      <c r="Q34" s="49">
        <f t="shared" si="9"/>
        <v>0.23076923076923078</v>
      </c>
    </row>
    <row r="35" spans="1:17" ht="15.75" x14ac:dyDescent="0.25">
      <c r="A35" s="10"/>
      <c r="B35" s="64" t="s">
        <v>58</v>
      </c>
      <c r="C35" s="24">
        <v>144.6</v>
      </c>
      <c r="D35" s="65">
        <v>35</v>
      </c>
      <c r="E35" s="67">
        <v>33.4</v>
      </c>
      <c r="F35" s="65">
        <v>36</v>
      </c>
      <c r="G35" s="66">
        <v>39.1</v>
      </c>
      <c r="H35" s="65">
        <v>36</v>
      </c>
      <c r="I35" s="67">
        <v>29.5</v>
      </c>
      <c r="J35" s="65">
        <v>35</v>
      </c>
      <c r="K35" s="66">
        <v>23.9</v>
      </c>
      <c r="L35" s="48">
        <f t="shared" ref="L35:M39" si="11">D35+F35+H35+J35</f>
        <v>142</v>
      </c>
      <c r="M35" s="48">
        <f t="shared" si="11"/>
        <v>125.9</v>
      </c>
      <c r="N35" s="30">
        <f t="shared" si="6"/>
        <v>-16.099999999999994</v>
      </c>
      <c r="O35" s="49">
        <f t="shared" si="7"/>
        <v>0.88661971830985919</v>
      </c>
      <c r="P35" s="30">
        <f t="shared" si="8"/>
        <v>-18.699999999999989</v>
      </c>
      <c r="Q35" s="49">
        <f t="shared" si="9"/>
        <v>0.87067773167358242</v>
      </c>
    </row>
    <row r="36" spans="1:17" ht="15.75" x14ac:dyDescent="0.25">
      <c r="A36" s="10"/>
      <c r="B36" s="64" t="s">
        <v>59</v>
      </c>
      <c r="C36" s="65">
        <v>14.2</v>
      </c>
      <c r="D36" s="24">
        <v>1.9</v>
      </c>
      <c r="E36" s="46">
        <v>2.5</v>
      </c>
      <c r="F36" s="24">
        <v>1.8</v>
      </c>
      <c r="G36" s="66">
        <v>2</v>
      </c>
      <c r="H36" s="24">
        <v>1.9</v>
      </c>
      <c r="I36" s="46">
        <v>1.8</v>
      </c>
      <c r="J36" s="24">
        <v>1.9</v>
      </c>
      <c r="K36" s="47">
        <v>2.7</v>
      </c>
      <c r="L36" s="48">
        <f t="shared" si="11"/>
        <v>7.5</v>
      </c>
      <c r="M36" s="68">
        <f t="shared" si="11"/>
        <v>9</v>
      </c>
      <c r="N36" s="30">
        <f t="shared" si="6"/>
        <v>1.5</v>
      </c>
      <c r="O36" s="49">
        <f t="shared" si="7"/>
        <v>1.2</v>
      </c>
      <c r="P36" s="30">
        <f t="shared" si="8"/>
        <v>-5.1999999999999993</v>
      </c>
      <c r="Q36" s="49">
        <f t="shared" si="9"/>
        <v>0.63380281690140849</v>
      </c>
    </row>
    <row r="37" spans="1:17" ht="15.75" customHeight="1" x14ac:dyDescent="0.25">
      <c r="A37" s="10"/>
      <c r="B37" s="64" t="s">
        <v>60</v>
      </c>
      <c r="C37" s="24">
        <v>92.3</v>
      </c>
      <c r="D37" s="24"/>
      <c r="E37" s="51"/>
      <c r="F37" s="24"/>
      <c r="G37" s="47"/>
      <c r="H37" s="24"/>
      <c r="I37" s="52"/>
      <c r="J37" s="24">
        <v>92.3</v>
      </c>
      <c r="K37" s="47">
        <v>92.3</v>
      </c>
      <c r="L37" s="48">
        <f t="shared" si="11"/>
        <v>92.3</v>
      </c>
      <c r="M37" s="48">
        <f t="shared" si="11"/>
        <v>92.3</v>
      </c>
      <c r="N37" s="30">
        <f>M37-L37</f>
        <v>0</v>
      </c>
      <c r="O37" s="49">
        <f>M37/L37</f>
        <v>1</v>
      </c>
      <c r="P37" s="30"/>
      <c r="Q37" s="49"/>
    </row>
    <row r="38" spans="1:17" ht="15.75" x14ac:dyDescent="0.25">
      <c r="A38" s="10"/>
      <c r="B38" s="64" t="s">
        <v>61</v>
      </c>
      <c r="C38" s="24">
        <v>0</v>
      </c>
      <c r="D38" s="24"/>
      <c r="E38" s="51"/>
      <c r="F38" s="24"/>
      <c r="G38" s="47"/>
      <c r="H38" s="24"/>
      <c r="I38" s="52"/>
      <c r="J38" s="24"/>
      <c r="K38" s="47">
        <v>628.20000000000005</v>
      </c>
      <c r="L38" s="48"/>
      <c r="M38" s="48">
        <f t="shared" si="11"/>
        <v>628.20000000000005</v>
      </c>
      <c r="N38" s="30">
        <f>M38-L38</f>
        <v>628.20000000000005</v>
      </c>
      <c r="O38" s="49"/>
      <c r="P38" s="30"/>
      <c r="Q38" s="49"/>
    </row>
    <row r="39" spans="1:17" ht="15.75" x14ac:dyDescent="0.25">
      <c r="A39" s="10"/>
      <c r="B39" s="64" t="s">
        <v>62</v>
      </c>
      <c r="C39" s="24">
        <v>629.99999999999989</v>
      </c>
      <c r="D39" s="24">
        <v>3.2</v>
      </c>
      <c r="E39" s="46">
        <f>2.2-0.9</f>
        <v>1.3000000000000003</v>
      </c>
      <c r="F39" s="24">
        <v>3.2</v>
      </c>
      <c r="G39" s="47">
        <v>1.5</v>
      </c>
      <c r="H39" s="24">
        <v>3.2</v>
      </c>
      <c r="I39" s="46">
        <v>1.7</v>
      </c>
      <c r="J39" s="24">
        <v>3.2</v>
      </c>
      <c r="K39" s="47">
        <v>4.5</v>
      </c>
      <c r="L39" s="48">
        <f t="shared" si="11"/>
        <v>12.8</v>
      </c>
      <c r="M39" s="48">
        <f t="shared" si="11"/>
        <v>9</v>
      </c>
      <c r="N39" s="30">
        <f t="shared" si="6"/>
        <v>-3.8000000000000007</v>
      </c>
      <c r="O39" s="49">
        <f t="shared" si="7"/>
        <v>0.703125</v>
      </c>
      <c r="P39" s="30">
        <f t="shared" si="8"/>
        <v>-620.99999999999989</v>
      </c>
      <c r="Q39" s="49">
        <f t="shared" si="9"/>
        <v>1.4285714285714289E-2</v>
      </c>
    </row>
    <row r="40" spans="1:17" ht="30" customHeight="1" x14ac:dyDescent="0.25">
      <c r="A40" s="58" t="s">
        <v>63</v>
      </c>
      <c r="B40" s="59" t="s">
        <v>64</v>
      </c>
      <c r="C40" s="60">
        <f t="shared" ref="C40:M40" si="12">C41+C49+C53+C61+C60+C86+C87+C88+C89+C90+C91+C92+C93+C94+C95+C96+C97+C98+C112+C120+C127+C128+C132</f>
        <v>20845.368000000006</v>
      </c>
      <c r="D40" s="60">
        <f t="shared" si="12"/>
        <v>7435.31</v>
      </c>
      <c r="E40" s="61">
        <f t="shared" si="12"/>
        <v>7610.8600000000033</v>
      </c>
      <c r="F40" s="60">
        <f t="shared" si="12"/>
        <v>3276.2100000000005</v>
      </c>
      <c r="G40" s="60">
        <f t="shared" si="12"/>
        <v>3809.4100000000003</v>
      </c>
      <c r="H40" s="60">
        <f t="shared" si="12"/>
        <v>2510.9100000000003</v>
      </c>
      <c r="I40" s="61">
        <f t="shared" si="12"/>
        <v>2505.0099999999993</v>
      </c>
      <c r="J40" s="60">
        <f t="shared" si="12"/>
        <v>6489.9259899999988</v>
      </c>
      <c r="K40" s="60">
        <f t="shared" si="12"/>
        <v>7544.445999999999</v>
      </c>
      <c r="L40" s="60">
        <f t="shared" si="12"/>
        <v>19712.35599</v>
      </c>
      <c r="M40" s="60">
        <f t="shared" si="12"/>
        <v>21469.726000000002</v>
      </c>
      <c r="N40" s="62">
        <f>M40-L40</f>
        <v>1757.3700100000024</v>
      </c>
      <c r="O40" s="63">
        <f>M40/L40</f>
        <v>1.0891506835048794</v>
      </c>
      <c r="P40" s="62">
        <f>M40-C40</f>
        <v>624.35799999999654</v>
      </c>
      <c r="Q40" s="63">
        <f>M40/C40</f>
        <v>1.0299518818761078</v>
      </c>
    </row>
    <row r="41" spans="1:17" ht="15.75" x14ac:dyDescent="0.25">
      <c r="A41" s="35" t="s">
        <v>65</v>
      </c>
      <c r="B41" s="18" t="s">
        <v>66</v>
      </c>
      <c r="C41" s="71">
        <f t="shared" ref="C41:M41" si="13">SUM(C42:C48)</f>
        <v>2577.4280000000003</v>
      </c>
      <c r="D41" s="71">
        <f t="shared" si="13"/>
        <v>732.49999999999989</v>
      </c>
      <c r="E41" s="72">
        <f t="shared" si="13"/>
        <v>626.04999999999984</v>
      </c>
      <c r="F41" s="71">
        <f t="shared" si="13"/>
        <v>728.49999999999989</v>
      </c>
      <c r="G41" s="73">
        <f t="shared" si="13"/>
        <v>667.19999999999993</v>
      </c>
      <c r="H41" s="71">
        <f t="shared" si="13"/>
        <v>726.9</v>
      </c>
      <c r="I41" s="74">
        <f t="shared" si="13"/>
        <v>682.90000000000009</v>
      </c>
      <c r="J41" s="75">
        <f t="shared" si="13"/>
        <v>777.1159899999999</v>
      </c>
      <c r="K41" s="84">
        <f t="shared" si="13"/>
        <v>671.99999999999989</v>
      </c>
      <c r="L41" s="76">
        <f t="shared" si="13"/>
        <v>2965.0159899999999</v>
      </c>
      <c r="M41" s="77">
        <f t="shared" si="13"/>
        <v>2648.15</v>
      </c>
      <c r="N41" s="78">
        <f>M41-L41</f>
        <v>-316.86598999999978</v>
      </c>
      <c r="O41" s="79">
        <f>M41/L41</f>
        <v>0.8931317770060323</v>
      </c>
      <c r="P41" s="78">
        <f>M41-C41</f>
        <v>70.721999999999753</v>
      </c>
      <c r="Q41" s="79">
        <f>M41/C41</f>
        <v>1.0274389818066691</v>
      </c>
    </row>
    <row r="42" spans="1:17" ht="15.75" customHeight="1" x14ac:dyDescent="0.25">
      <c r="A42" s="80" t="s">
        <v>67</v>
      </c>
      <c r="B42" s="81" t="s">
        <v>68</v>
      </c>
      <c r="C42" s="24">
        <v>2024.2</v>
      </c>
      <c r="D42" s="24">
        <v>582.5</v>
      </c>
      <c r="E42" s="67">
        <v>499.4</v>
      </c>
      <c r="F42" s="65">
        <v>579.29999999999995</v>
      </c>
      <c r="G42" s="67">
        <v>531.29999999999995</v>
      </c>
      <c r="H42" s="65">
        <v>578.1</v>
      </c>
      <c r="I42" s="67">
        <v>544.20000000000005</v>
      </c>
      <c r="J42" s="24">
        <v>582.5</v>
      </c>
      <c r="K42" s="47">
        <f>535.3-K43</f>
        <v>499.19999999999993</v>
      </c>
      <c r="L42" s="48">
        <f>D42+F42+H42+J42</f>
        <v>2322.4</v>
      </c>
      <c r="M42" s="48">
        <f>E42+G42+I42+K42</f>
        <v>2074.1</v>
      </c>
      <c r="N42" s="16">
        <f t="shared" ref="N42:N53" si="14">M42-L42</f>
        <v>-248.30000000000018</v>
      </c>
      <c r="O42" s="49">
        <f t="shared" ref="O42:O53" si="15">M42/L42</f>
        <v>0.89308473992421622</v>
      </c>
      <c r="P42" s="16">
        <f t="shared" ref="P42:P105" si="16">M42-C42</f>
        <v>49.899999999999864</v>
      </c>
      <c r="Q42" s="49">
        <f t="shared" ref="Q42:Q105" si="17">M42/C42</f>
        <v>1.0246517142574845</v>
      </c>
    </row>
    <row r="43" spans="1:17" ht="15.75" x14ac:dyDescent="0.25">
      <c r="A43" s="80" t="s">
        <v>69</v>
      </c>
      <c r="B43" s="81" t="s">
        <v>70</v>
      </c>
      <c r="C43" s="24">
        <v>36.1</v>
      </c>
      <c r="D43" s="24"/>
      <c r="E43" s="51"/>
      <c r="F43" s="24"/>
      <c r="G43" s="47"/>
      <c r="H43" s="24"/>
      <c r="I43" s="52"/>
      <c r="J43" s="24">
        <v>36.1</v>
      </c>
      <c r="K43" s="47">
        <v>36.1</v>
      </c>
      <c r="L43" s="48">
        <f>D43+F43+H43+J43</f>
        <v>36.1</v>
      </c>
      <c r="M43" s="48">
        <f>E43+G43+I43+K43</f>
        <v>36.1</v>
      </c>
      <c r="N43" s="16"/>
      <c r="O43" s="49"/>
      <c r="P43" s="16"/>
      <c r="Q43" s="49"/>
    </row>
    <row r="44" spans="1:17" ht="15.75" x14ac:dyDescent="0.25">
      <c r="A44" s="80" t="s">
        <v>71</v>
      </c>
      <c r="B44" s="81" t="s">
        <v>72</v>
      </c>
      <c r="C44" s="65">
        <v>469.99999999999994</v>
      </c>
      <c r="D44" s="24">
        <v>137.4</v>
      </c>
      <c r="E44" s="82">
        <v>116</v>
      </c>
      <c r="F44" s="24">
        <v>136.6</v>
      </c>
      <c r="G44" s="47">
        <v>123.4</v>
      </c>
      <c r="H44" s="65">
        <v>136.4</v>
      </c>
      <c r="I44" s="46">
        <v>126.9</v>
      </c>
      <c r="J44" s="65">
        <f>137.4+23.59%*36.1</f>
        <v>145.91598999999999</v>
      </c>
      <c r="K44" s="66">
        <v>124</v>
      </c>
      <c r="L44" s="48">
        <f t="shared" ref="L44:M48" si="18">D44+F44+H44+J44</f>
        <v>556.31598999999994</v>
      </c>
      <c r="M44" s="68">
        <f t="shared" si="18"/>
        <v>490.3</v>
      </c>
      <c r="N44" s="16">
        <f t="shared" si="14"/>
        <v>-66.015989999999931</v>
      </c>
      <c r="O44" s="49">
        <f t="shared" si="15"/>
        <v>0.88133364636885603</v>
      </c>
      <c r="P44" s="16">
        <f t="shared" si="16"/>
        <v>20.300000000000068</v>
      </c>
      <c r="Q44" s="49">
        <f t="shared" si="17"/>
        <v>1.0431914893617023</v>
      </c>
    </row>
    <row r="45" spans="1:17" ht="31.5" x14ac:dyDescent="0.25">
      <c r="A45" s="80" t="s">
        <v>73</v>
      </c>
      <c r="B45" s="81" t="s">
        <v>74</v>
      </c>
      <c r="C45" s="65">
        <v>45.500000000000007</v>
      </c>
      <c r="D45" s="65">
        <v>11.8</v>
      </c>
      <c r="E45" s="67">
        <v>10.3</v>
      </c>
      <c r="F45" s="65">
        <v>11.9</v>
      </c>
      <c r="G45" s="66">
        <v>12.2</v>
      </c>
      <c r="H45" s="65">
        <v>11.8</v>
      </c>
      <c r="I45" s="67">
        <v>11.6</v>
      </c>
      <c r="J45" s="24">
        <v>11.9</v>
      </c>
      <c r="K45" s="66">
        <v>12</v>
      </c>
      <c r="L45" s="48">
        <f t="shared" si="18"/>
        <v>47.4</v>
      </c>
      <c r="M45" s="68">
        <f t="shared" si="18"/>
        <v>46.1</v>
      </c>
      <c r="N45" s="16">
        <f t="shared" si="14"/>
        <v>-1.2999999999999972</v>
      </c>
      <c r="O45" s="49">
        <f t="shared" si="15"/>
        <v>0.97257383966244737</v>
      </c>
      <c r="P45" s="16">
        <f t="shared" si="16"/>
        <v>0.59999999999999432</v>
      </c>
      <c r="Q45" s="49">
        <f t="shared" si="17"/>
        <v>1.0131868131868131</v>
      </c>
    </row>
    <row r="46" spans="1:17" ht="15.75" x14ac:dyDescent="0.25">
      <c r="A46" s="80" t="s">
        <v>75</v>
      </c>
      <c r="B46" s="81" t="s">
        <v>76</v>
      </c>
      <c r="C46" s="24">
        <v>1.1000000000000001</v>
      </c>
      <c r="D46" s="24">
        <v>0.3</v>
      </c>
      <c r="E46" s="46">
        <v>0.3</v>
      </c>
      <c r="F46" s="24">
        <v>0.3</v>
      </c>
      <c r="G46" s="47">
        <v>0.3</v>
      </c>
      <c r="H46" s="24">
        <v>0.2</v>
      </c>
      <c r="I46" s="46">
        <v>0.2</v>
      </c>
      <c r="J46" s="24">
        <v>0.3</v>
      </c>
      <c r="K46" s="47">
        <v>0.3</v>
      </c>
      <c r="L46" s="48">
        <f t="shared" si="18"/>
        <v>1.1000000000000001</v>
      </c>
      <c r="M46" s="48">
        <f t="shared" si="18"/>
        <v>1.1000000000000001</v>
      </c>
      <c r="N46" s="16">
        <f t="shared" si="14"/>
        <v>0</v>
      </c>
      <c r="O46" s="49">
        <f t="shared" si="15"/>
        <v>1</v>
      </c>
      <c r="P46" s="16">
        <f t="shared" si="16"/>
        <v>0</v>
      </c>
      <c r="Q46" s="49">
        <f t="shared" si="17"/>
        <v>1</v>
      </c>
    </row>
    <row r="47" spans="1:17" ht="15.75" x14ac:dyDescent="0.25">
      <c r="A47" s="80" t="s">
        <v>77</v>
      </c>
      <c r="B47" s="81" t="s">
        <v>78</v>
      </c>
      <c r="C47" s="24">
        <v>0.4</v>
      </c>
      <c r="D47" s="24">
        <v>0.4</v>
      </c>
      <c r="E47" s="46">
        <f>0.1-E63</f>
        <v>0</v>
      </c>
      <c r="F47" s="24">
        <v>0.4</v>
      </c>
      <c r="G47" s="47">
        <v>0</v>
      </c>
      <c r="H47" s="24">
        <v>0.4</v>
      </c>
      <c r="I47" s="46">
        <f>0.1-I63</f>
        <v>0</v>
      </c>
      <c r="J47" s="24">
        <v>0.4</v>
      </c>
      <c r="K47" s="47">
        <v>0.4</v>
      </c>
      <c r="L47" s="48">
        <f t="shared" si="18"/>
        <v>1.6</v>
      </c>
      <c r="M47" s="48">
        <f t="shared" si="18"/>
        <v>0.4</v>
      </c>
      <c r="N47" s="16">
        <f t="shared" si="14"/>
        <v>-1.2000000000000002</v>
      </c>
      <c r="O47" s="49">
        <f t="shared" si="15"/>
        <v>0.25</v>
      </c>
      <c r="P47" s="16">
        <f t="shared" si="16"/>
        <v>0</v>
      </c>
      <c r="Q47" s="49">
        <f t="shared" si="17"/>
        <v>1</v>
      </c>
    </row>
    <row r="48" spans="1:17" ht="15.75" x14ac:dyDescent="0.25">
      <c r="A48" s="80" t="s">
        <v>79</v>
      </c>
      <c r="B48" s="81" t="s">
        <v>80</v>
      </c>
      <c r="C48" s="65">
        <v>0.128</v>
      </c>
      <c r="D48" s="24">
        <v>0.1</v>
      </c>
      <c r="E48" s="46">
        <v>0.05</v>
      </c>
      <c r="F48" s="24"/>
      <c r="G48" s="47"/>
      <c r="H48" s="24"/>
      <c r="I48" s="46"/>
      <c r="J48" s="24"/>
      <c r="K48" s="47"/>
      <c r="L48" s="48">
        <f t="shared" si="18"/>
        <v>0.1</v>
      </c>
      <c r="M48" s="68">
        <f t="shared" si="18"/>
        <v>0.05</v>
      </c>
      <c r="N48" s="16">
        <f t="shared" si="14"/>
        <v>-0.05</v>
      </c>
      <c r="O48" s="49">
        <f t="shared" si="15"/>
        <v>0.5</v>
      </c>
      <c r="P48" s="16">
        <f t="shared" si="16"/>
        <v>-7.8E-2</v>
      </c>
      <c r="Q48" s="49">
        <f t="shared" si="17"/>
        <v>0.390625</v>
      </c>
    </row>
    <row r="49" spans="1:17" ht="15.75" x14ac:dyDescent="0.25">
      <c r="A49" s="35" t="s">
        <v>81</v>
      </c>
      <c r="B49" s="83" t="s">
        <v>82</v>
      </c>
      <c r="C49" s="75">
        <f t="shared" ref="C49:M49" si="19">SUM(C50:C52)</f>
        <v>646.9</v>
      </c>
      <c r="D49" s="75">
        <f t="shared" si="19"/>
        <v>272.10000000000002</v>
      </c>
      <c r="E49" s="72">
        <f t="shared" si="19"/>
        <v>207.3</v>
      </c>
      <c r="F49" s="75">
        <f t="shared" si="19"/>
        <v>107.7</v>
      </c>
      <c r="G49" s="84">
        <f t="shared" si="19"/>
        <v>116.1</v>
      </c>
      <c r="H49" s="75">
        <f t="shared" si="19"/>
        <v>75.8</v>
      </c>
      <c r="I49" s="72">
        <f t="shared" si="19"/>
        <v>70.400000000000006</v>
      </c>
      <c r="J49" s="75">
        <f t="shared" si="19"/>
        <v>171.8</v>
      </c>
      <c r="K49" s="84">
        <f t="shared" si="19"/>
        <v>167.4</v>
      </c>
      <c r="L49" s="48">
        <f t="shared" si="19"/>
        <v>627.40000000000009</v>
      </c>
      <c r="M49" s="48">
        <f t="shared" si="19"/>
        <v>561.20000000000005</v>
      </c>
      <c r="N49" s="78">
        <f t="shared" si="14"/>
        <v>-66.200000000000045</v>
      </c>
      <c r="O49" s="79">
        <f t="shared" si="15"/>
        <v>0.89448517692062479</v>
      </c>
      <c r="P49" s="78">
        <f t="shared" si="16"/>
        <v>-85.699999999999932</v>
      </c>
      <c r="Q49" s="79">
        <f t="shared" si="17"/>
        <v>0.86752202813417845</v>
      </c>
    </row>
    <row r="50" spans="1:17" ht="15.75" customHeight="1" x14ac:dyDescent="0.25">
      <c r="A50" s="80" t="s">
        <v>83</v>
      </c>
      <c r="B50" s="81" t="s">
        <v>84</v>
      </c>
      <c r="C50" s="24">
        <v>0</v>
      </c>
      <c r="D50" s="24"/>
      <c r="E50" s="51"/>
      <c r="F50" s="24"/>
      <c r="G50" s="47"/>
      <c r="H50" s="24"/>
      <c r="I50" s="52"/>
      <c r="J50" s="24"/>
      <c r="K50" s="47"/>
      <c r="L50" s="48">
        <f t="shared" ref="L50:M52" si="20">D50+F50+H50+J50</f>
        <v>0</v>
      </c>
      <c r="M50" s="48">
        <f t="shared" si="20"/>
        <v>0</v>
      </c>
      <c r="N50" s="16"/>
      <c r="O50" s="49"/>
      <c r="P50" s="78"/>
      <c r="Q50" s="79"/>
    </row>
    <row r="51" spans="1:17" ht="15.75" customHeight="1" x14ac:dyDescent="0.25">
      <c r="A51" s="80" t="s">
        <v>85</v>
      </c>
      <c r="B51" s="81" t="s">
        <v>86</v>
      </c>
      <c r="C51" s="65">
        <v>122</v>
      </c>
      <c r="D51" s="65">
        <v>45.3</v>
      </c>
      <c r="E51" s="46">
        <v>49.8</v>
      </c>
      <c r="F51" s="24">
        <v>24.7</v>
      </c>
      <c r="G51" s="47">
        <v>39.6</v>
      </c>
      <c r="H51" s="24">
        <v>15.9</v>
      </c>
      <c r="I51" s="46">
        <v>20.399999999999999</v>
      </c>
      <c r="J51" s="24">
        <v>38.9</v>
      </c>
      <c r="K51" s="66">
        <v>20</v>
      </c>
      <c r="L51" s="48">
        <f t="shared" si="20"/>
        <v>124.80000000000001</v>
      </c>
      <c r="M51" s="68">
        <f t="shared" si="20"/>
        <v>129.80000000000001</v>
      </c>
      <c r="N51" s="16">
        <f t="shared" si="14"/>
        <v>5</v>
      </c>
      <c r="O51" s="49">
        <f t="shared" si="15"/>
        <v>1.0400641025641026</v>
      </c>
      <c r="P51" s="16">
        <f t="shared" si="16"/>
        <v>7.8000000000000114</v>
      </c>
      <c r="Q51" s="49">
        <f t="shared" si="17"/>
        <v>1.0639344262295083</v>
      </c>
    </row>
    <row r="52" spans="1:17" ht="57" customHeight="1" x14ac:dyDescent="0.25">
      <c r="A52" s="80" t="s">
        <v>87</v>
      </c>
      <c r="B52" s="81" t="s">
        <v>88</v>
      </c>
      <c r="C52" s="24">
        <v>524.9</v>
      </c>
      <c r="D52" s="24">
        <v>226.8</v>
      </c>
      <c r="E52" s="67">
        <v>157.5</v>
      </c>
      <c r="F52" s="85">
        <v>83</v>
      </c>
      <c r="G52" s="47">
        <v>76.5</v>
      </c>
      <c r="H52" s="24">
        <v>59.9</v>
      </c>
      <c r="I52" s="67">
        <v>50</v>
      </c>
      <c r="J52" s="24">
        <v>132.9</v>
      </c>
      <c r="K52" s="47">
        <v>147.4</v>
      </c>
      <c r="L52" s="48">
        <f t="shared" si="20"/>
        <v>502.6</v>
      </c>
      <c r="M52" s="68">
        <f t="shared" si="20"/>
        <v>431.4</v>
      </c>
      <c r="N52" s="16">
        <f t="shared" si="14"/>
        <v>-71.200000000000045</v>
      </c>
      <c r="O52" s="49">
        <f t="shared" si="15"/>
        <v>0.85833664942300036</v>
      </c>
      <c r="P52" s="16">
        <f t="shared" si="16"/>
        <v>-93.5</v>
      </c>
      <c r="Q52" s="49">
        <f t="shared" si="17"/>
        <v>0.8218708325395313</v>
      </c>
    </row>
    <row r="53" spans="1:17" ht="15.75" x14ac:dyDescent="0.2">
      <c r="A53" s="86" t="s">
        <v>89</v>
      </c>
      <c r="B53" s="83" t="s">
        <v>90</v>
      </c>
      <c r="C53" s="83">
        <f t="shared" ref="C53:M53" si="21">SUM(C55:C59)</f>
        <v>14613.4</v>
      </c>
      <c r="D53" s="83">
        <f t="shared" si="21"/>
        <v>5813.1000000000013</v>
      </c>
      <c r="E53" s="87">
        <f t="shared" si="21"/>
        <v>6195.7000000000007</v>
      </c>
      <c r="F53" s="83">
        <f t="shared" si="21"/>
        <v>1863.3</v>
      </c>
      <c r="G53" s="88">
        <f t="shared" si="21"/>
        <v>2472.2000000000003</v>
      </c>
      <c r="H53" s="83">
        <f t="shared" si="21"/>
        <v>1155.7</v>
      </c>
      <c r="I53" s="87">
        <f t="shared" si="21"/>
        <v>1235.5999999999999</v>
      </c>
      <c r="J53" s="83">
        <f t="shared" si="21"/>
        <v>4813.7000000000007</v>
      </c>
      <c r="K53" s="88">
        <f t="shared" si="21"/>
        <v>4570.8999999999996</v>
      </c>
      <c r="L53" s="89">
        <f t="shared" si="21"/>
        <v>13645.800000000001</v>
      </c>
      <c r="M53" s="90">
        <f t="shared" si="21"/>
        <v>14474.4</v>
      </c>
      <c r="N53" s="78">
        <f t="shared" si="14"/>
        <v>828.59999999999854</v>
      </c>
      <c r="O53" s="79">
        <f t="shared" si="15"/>
        <v>1.0607219803895702</v>
      </c>
      <c r="P53" s="78">
        <f t="shared" si="16"/>
        <v>-139</v>
      </c>
      <c r="Q53" s="79">
        <f t="shared" si="17"/>
        <v>0.99048818207946132</v>
      </c>
    </row>
    <row r="54" spans="1:17" ht="15.75" x14ac:dyDescent="0.25">
      <c r="A54" s="10"/>
      <c r="B54" s="91" t="s">
        <v>91</v>
      </c>
      <c r="C54" s="24"/>
      <c r="D54" s="24"/>
      <c r="E54" s="51"/>
      <c r="F54" s="24"/>
      <c r="G54" s="47"/>
      <c r="H54" s="24"/>
      <c r="I54" s="52"/>
      <c r="J54" s="24"/>
      <c r="K54" s="47"/>
      <c r="L54" s="48"/>
      <c r="M54" s="53"/>
      <c r="N54" s="78"/>
      <c r="O54" s="79"/>
      <c r="P54" s="78"/>
      <c r="Q54" s="79"/>
    </row>
    <row r="55" spans="1:17" ht="87.75" customHeight="1" x14ac:dyDescent="0.25">
      <c r="A55" s="80" t="s">
        <v>92</v>
      </c>
      <c r="B55" s="81" t="s">
        <v>93</v>
      </c>
      <c r="C55" s="65">
        <v>7666.4000000000005</v>
      </c>
      <c r="D55" s="24">
        <v>3394.4</v>
      </c>
      <c r="E55" s="46">
        <v>3783.4</v>
      </c>
      <c r="F55" s="24">
        <v>647.5</v>
      </c>
      <c r="G55" s="47">
        <v>1086.4000000000001</v>
      </c>
      <c r="H55" s="24">
        <v>216.4</v>
      </c>
      <c r="I55" s="46">
        <v>203.1</v>
      </c>
      <c r="J55" s="24">
        <v>2557.9</v>
      </c>
      <c r="K55" s="47">
        <v>2084.1</v>
      </c>
      <c r="L55" s="48">
        <f t="shared" ref="L55:M60" si="22">D55+F55+H55+J55</f>
        <v>6816.2000000000007</v>
      </c>
      <c r="M55" s="68">
        <f t="shared" si="22"/>
        <v>7157</v>
      </c>
      <c r="N55" s="16">
        <f t="shared" ref="N55:N61" si="23">M55-L55</f>
        <v>340.79999999999927</v>
      </c>
      <c r="O55" s="49">
        <f t="shared" ref="O55:O61" si="24">M55/L55</f>
        <v>1.0499985329068982</v>
      </c>
      <c r="P55" s="16">
        <f t="shared" si="16"/>
        <v>-509.40000000000055</v>
      </c>
      <c r="Q55" s="49">
        <f t="shared" si="17"/>
        <v>0.93355421058123755</v>
      </c>
    </row>
    <row r="56" spans="1:17" ht="15.75" x14ac:dyDescent="0.25">
      <c r="A56" s="80" t="s">
        <v>94</v>
      </c>
      <c r="B56" s="92" t="s">
        <v>95</v>
      </c>
      <c r="C56" s="24">
        <v>6861.3</v>
      </c>
      <c r="D56" s="65">
        <v>2396.8000000000002</v>
      </c>
      <c r="E56" s="67">
        <v>2392.1999999999998</v>
      </c>
      <c r="F56" s="24">
        <v>1194.0999999999999</v>
      </c>
      <c r="G56" s="47">
        <v>1364.2</v>
      </c>
      <c r="H56" s="24">
        <v>918.2</v>
      </c>
      <c r="I56" s="67">
        <v>1008</v>
      </c>
      <c r="J56" s="24">
        <v>2234.6999999999998</v>
      </c>
      <c r="K56" s="47">
        <v>2461.6</v>
      </c>
      <c r="L56" s="48">
        <f t="shared" si="22"/>
        <v>6743.8</v>
      </c>
      <c r="M56" s="68">
        <f t="shared" si="22"/>
        <v>7226</v>
      </c>
      <c r="N56" s="16">
        <f t="shared" si="23"/>
        <v>482.19999999999982</v>
      </c>
      <c r="O56" s="49">
        <f t="shared" si="24"/>
        <v>1.0715027136036062</v>
      </c>
      <c r="P56" s="16">
        <f t="shared" si="16"/>
        <v>364.69999999999982</v>
      </c>
      <c r="Q56" s="49">
        <f t="shared" si="17"/>
        <v>1.053153192543687</v>
      </c>
    </row>
    <row r="57" spans="1:17" ht="15.75" x14ac:dyDescent="0.25">
      <c r="A57" s="80" t="s">
        <v>96</v>
      </c>
      <c r="B57" s="81" t="s">
        <v>97</v>
      </c>
      <c r="C57" s="24">
        <v>18.299999999999997</v>
      </c>
      <c r="D57" s="24">
        <v>5</v>
      </c>
      <c r="E57" s="46">
        <v>5.0999999999999996</v>
      </c>
      <c r="F57" s="24">
        <v>5</v>
      </c>
      <c r="G57" s="47">
        <v>4.5</v>
      </c>
      <c r="H57" s="24">
        <v>5</v>
      </c>
      <c r="I57" s="46">
        <v>5.3</v>
      </c>
      <c r="J57" s="24">
        <v>5.0999999999999996</v>
      </c>
      <c r="K57" s="47">
        <v>4.4000000000000004</v>
      </c>
      <c r="L57" s="48">
        <f t="shared" si="22"/>
        <v>20.100000000000001</v>
      </c>
      <c r="M57" s="48">
        <f t="shared" si="22"/>
        <v>19.299999999999997</v>
      </c>
      <c r="N57" s="16">
        <f t="shared" si="23"/>
        <v>-0.80000000000000426</v>
      </c>
      <c r="O57" s="49">
        <f t="shared" si="24"/>
        <v>0.96019900497512412</v>
      </c>
      <c r="P57" s="16">
        <f t="shared" si="16"/>
        <v>1</v>
      </c>
      <c r="Q57" s="49">
        <f t="shared" si="17"/>
        <v>1.0546448087431695</v>
      </c>
    </row>
    <row r="58" spans="1:17" ht="15.75" x14ac:dyDescent="0.25">
      <c r="A58" s="80" t="s">
        <v>98</v>
      </c>
      <c r="B58" s="81" t="s">
        <v>99</v>
      </c>
      <c r="C58" s="24">
        <v>0.6</v>
      </c>
      <c r="D58" s="24">
        <v>0.3</v>
      </c>
      <c r="E58" s="46">
        <v>0.2</v>
      </c>
      <c r="F58" s="24">
        <v>0.3</v>
      </c>
      <c r="G58" s="47">
        <v>0.2</v>
      </c>
      <c r="H58" s="24">
        <v>0.3</v>
      </c>
      <c r="I58" s="46">
        <v>0.2</v>
      </c>
      <c r="J58" s="24">
        <v>0.3</v>
      </c>
      <c r="K58" s="47">
        <v>0.3</v>
      </c>
      <c r="L58" s="48">
        <f t="shared" si="22"/>
        <v>1.2</v>
      </c>
      <c r="M58" s="48">
        <f t="shared" si="22"/>
        <v>0.90000000000000013</v>
      </c>
      <c r="N58" s="16">
        <f t="shared" si="23"/>
        <v>-0.29999999999999982</v>
      </c>
      <c r="O58" s="49">
        <f t="shared" si="24"/>
        <v>0.75000000000000011</v>
      </c>
      <c r="P58" s="16">
        <f t="shared" si="16"/>
        <v>0.30000000000000016</v>
      </c>
      <c r="Q58" s="49">
        <f t="shared" si="17"/>
        <v>1.5000000000000002</v>
      </c>
    </row>
    <row r="59" spans="1:17" ht="30" customHeight="1" x14ac:dyDescent="0.25">
      <c r="A59" s="80" t="s">
        <v>100</v>
      </c>
      <c r="B59" s="81" t="s">
        <v>101</v>
      </c>
      <c r="C59" s="24">
        <v>66.8</v>
      </c>
      <c r="D59" s="24">
        <v>16.600000000000001</v>
      </c>
      <c r="E59" s="47">
        <v>14.8</v>
      </c>
      <c r="F59" s="24">
        <v>16.399999999999999</v>
      </c>
      <c r="G59" s="66">
        <v>16.899999999999999</v>
      </c>
      <c r="H59" s="24">
        <v>15.8</v>
      </c>
      <c r="I59" s="67">
        <v>19</v>
      </c>
      <c r="J59" s="24">
        <v>15.7</v>
      </c>
      <c r="K59" s="47">
        <v>20.5</v>
      </c>
      <c r="L59" s="48">
        <f t="shared" si="22"/>
        <v>64.5</v>
      </c>
      <c r="M59" s="48">
        <f t="shared" si="22"/>
        <v>71.2</v>
      </c>
      <c r="N59" s="16">
        <f t="shared" si="23"/>
        <v>6.7000000000000028</v>
      </c>
      <c r="O59" s="49">
        <f t="shared" si="24"/>
        <v>1.1038759689922482</v>
      </c>
      <c r="P59" s="16">
        <f t="shared" si="16"/>
        <v>4.4000000000000057</v>
      </c>
      <c r="Q59" s="49">
        <f t="shared" si="17"/>
        <v>1.0658682634730541</v>
      </c>
    </row>
    <row r="60" spans="1:17" ht="73.5" customHeight="1" x14ac:dyDescent="0.25">
      <c r="A60" s="35" t="s">
        <v>102</v>
      </c>
      <c r="B60" s="93" t="s">
        <v>103</v>
      </c>
      <c r="C60" s="65">
        <v>69.5</v>
      </c>
      <c r="D60" s="24">
        <v>14.7</v>
      </c>
      <c r="E60" s="94">
        <v>17.3</v>
      </c>
      <c r="F60" s="24">
        <v>59.8</v>
      </c>
      <c r="G60" s="95">
        <v>24.6</v>
      </c>
      <c r="H60" s="24">
        <v>58.8</v>
      </c>
      <c r="I60" s="47">
        <v>49.3</v>
      </c>
      <c r="J60" s="24">
        <v>10.7</v>
      </c>
      <c r="K60" s="47">
        <v>22.6</v>
      </c>
      <c r="L60" s="48">
        <f t="shared" si="22"/>
        <v>144</v>
      </c>
      <c r="M60" s="68">
        <f t="shared" si="22"/>
        <v>113.80000000000001</v>
      </c>
      <c r="N60" s="78">
        <f t="shared" si="23"/>
        <v>-30.199999999999989</v>
      </c>
      <c r="O60" s="79">
        <f t="shared" si="24"/>
        <v>0.79027777777777786</v>
      </c>
      <c r="P60" s="78">
        <f t="shared" si="16"/>
        <v>44.300000000000011</v>
      </c>
      <c r="Q60" s="79">
        <f t="shared" si="17"/>
        <v>1.6374100719424463</v>
      </c>
    </row>
    <row r="61" spans="1:17" ht="36.75" customHeight="1" x14ac:dyDescent="0.25">
      <c r="A61" s="35" t="s">
        <v>104</v>
      </c>
      <c r="B61" s="83" t="s">
        <v>105</v>
      </c>
      <c r="C61" s="75">
        <f t="shared" ref="C61:M61" si="25">SUM(C62:C85)</f>
        <v>37.14</v>
      </c>
      <c r="D61" s="75">
        <f t="shared" si="25"/>
        <v>7.2099999999999982</v>
      </c>
      <c r="E61" s="72">
        <f t="shared" si="25"/>
        <v>5.71</v>
      </c>
      <c r="F61" s="75">
        <f t="shared" si="25"/>
        <v>6.6099999999999994</v>
      </c>
      <c r="G61" s="84">
        <f t="shared" si="25"/>
        <v>7.8099999999999969</v>
      </c>
      <c r="H61" s="75">
        <f t="shared" si="25"/>
        <v>9.2099999999999991</v>
      </c>
      <c r="I61" s="72">
        <f t="shared" si="25"/>
        <v>4.6100000000000003</v>
      </c>
      <c r="J61" s="75">
        <f t="shared" si="25"/>
        <v>14.509999999999998</v>
      </c>
      <c r="K61" s="84">
        <f t="shared" si="25"/>
        <v>13.509999999999996</v>
      </c>
      <c r="L61" s="76">
        <f t="shared" si="25"/>
        <v>37.54</v>
      </c>
      <c r="M61" s="76">
        <f t="shared" si="25"/>
        <v>31.640000000000004</v>
      </c>
      <c r="N61" s="78">
        <f t="shared" si="23"/>
        <v>-5.899999999999995</v>
      </c>
      <c r="O61" s="79">
        <f t="shared" si="24"/>
        <v>0.84283431006925957</v>
      </c>
      <c r="P61" s="78">
        <f t="shared" si="16"/>
        <v>-5.4999999999999964</v>
      </c>
      <c r="Q61" s="79">
        <f t="shared" si="17"/>
        <v>0.85191168551427043</v>
      </c>
    </row>
    <row r="62" spans="1:17" ht="22.5" customHeight="1" x14ac:dyDescent="0.25">
      <c r="A62" s="80" t="s">
        <v>106</v>
      </c>
      <c r="B62" s="81" t="s">
        <v>107</v>
      </c>
      <c r="C62" s="24">
        <v>1</v>
      </c>
      <c r="D62" s="24"/>
      <c r="E62" s="51"/>
      <c r="F62" s="24"/>
      <c r="G62" s="47"/>
      <c r="H62" s="24">
        <v>1.1000000000000001</v>
      </c>
      <c r="I62" s="46"/>
      <c r="J62" s="24">
        <v>0.4</v>
      </c>
      <c r="K62" s="47">
        <v>0.3</v>
      </c>
      <c r="L62" s="48">
        <f>D62+F62+H62+J62</f>
        <v>1.5</v>
      </c>
      <c r="M62" s="68">
        <f>E62+G62+I62+K62</f>
        <v>0.3</v>
      </c>
      <c r="N62" s="78"/>
      <c r="O62" s="79"/>
      <c r="P62" s="16">
        <f t="shared" si="16"/>
        <v>-0.7</v>
      </c>
      <c r="Q62" s="49"/>
    </row>
    <row r="63" spans="1:17" ht="24.75" customHeight="1" x14ac:dyDescent="0.25">
      <c r="A63" s="80" t="s">
        <v>108</v>
      </c>
      <c r="B63" s="81" t="s">
        <v>109</v>
      </c>
      <c r="C63" s="24">
        <v>1.2000000000000002</v>
      </c>
      <c r="D63" s="24">
        <v>0.3</v>
      </c>
      <c r="E63" s="46">
        <v>0.1</v>
      </c>
      <c r="F63" s="24">
        <v>0.3</v>
      </c>
      <c r="G63" s="47">
        <v>0.2</v>
      </c>
      <c r="H63" s="24">
        <v>0.3</v>
      </c>
      <c r="I63" s="46">
        <v>0.1</v>
      </c>
      <c r="J63" s="24">
        <v>0.3</v>
      </c>
      <c r="K63" s="47">
        <v>0.5</v>
      </c>
      <c r="L63" s="48">
        <f t="shared" ref="L63:M84" si="26">D63+F63+H63+J63</f>
        <v>1.2</v>
      </c>
      <c r="M63" s="48">
        <f t="shared" si="26"/>
        <v>0.9</v>
      </c>
      <c r="N63" s="16">
        <f>M63-L63</f>
        <v>-0.29999999999999993</v>
      </c>
      <c r="O63" s="49">
        <f>M63/L63</f>
        <v>0.75</v>
      </c>
      <c r="P63" s="16">
        <f t="shared" si="16"/>
        <v>-0.30000000000000016</v>
      </c>
      <c r="Q63" s="49">
        <f t="shared" si="17"/>
        <v>0.74999999999999989</v>
      </c>
    </row>
    <row r="64" spans="1:17" ht="21.75" customHeight="1" x14ac:dyDescent="0.25">
      <c r="A64" s="80" t="s">
        <v>110</v>
      </c>
      <c r="B64" s="81" t="s">
        <v>111</v>
      </c>
      <c r="C64" s="24">
        <v>0.79999999999999993</v>
      </c>
      <c r="D64" s="24">
        <v>0.3</v>
      </c>
      <c r="E64" s="46">
        <v>0.2</v>
      </c>
      <c r="F64" s="24">
        <v>0.3</v>
      </c>
      <c r="G64" s="47">
        <v>0.2</v>
      </c>
      <c r="H64" s="24">
        <v>0.3</v>
      </c>
      <c r="I64" s="46">
        <v>0.1</v>
      </c>
      <c r="J64" s="24">
        <v>0.3</v>
      </c>
      <c r="K64" s="47">
        <v>0</v>
      </c>
      <c r="L64" s="48">
        <f t="shared" si="26"/>
        <v>1.2</v>
      </c>
      <c r="M64" s="48">
        <f t="shared" si="26"/>
        <v>0.5</v>
      </c>
      <c r="N64" s="16">
        <f t="shared" ref="N64:N84" si="27">M64-L64</f>
        <v>-0.7</v>
      </c>
      <c r="O64" s="49">
        <f t="shared" ref="O64:O84" si="28">M64/L64</f>
        <v>0.41666666666666669</v>
      </c>
      <c r="P64" s="16">
        <f t="shared" si="16"/>
        <v>-0.29999999999999993</v>
      </c>
      <c r="Q64" s="49">
        <f t="shared" si="17"/>
        <v>0.625</v>
      </c>
    </row>
    <row r="65" spans="1:17" ht="21.75" customHeight="1" x14ac:dyDescent="0.25">
      <c r="A65" s="80" t="s">
        <v>112</v>
      </c>
      <c r="B65" s="81" t="s">
        <v>113</v>
      </c>
      <c r="C65" s="24">
        <v>6.4</v>
      </c>
      <c r="D65" s="24"/>
      <c r="E65" s="51"/>
      <c r="F65" s="24"/>
      <c r="G65" s="47"/>
      <c r="H65" s="24"/>
      <c r="I65" s="46"/>
      <c r="J65" s="65">
        <v>7</v>
      </c>
      <c r="K65" s="66">
        <f>2.5+3.4</f>
        <v>5.9</v>
      </c>
      <c r="L65" s="48">
        <f t="shared" si="26"/>
        <v>7</v>
      </c>
      <c r="M65" s="48">
        <f t="shared" si="26"/>
        <v>5.9</v>
      </c>
      <c r="N65" s="16"/>
      <c r="O65" s="49"/>
      <c r="P65" s="16"/>
      <c r="Q65" s="49"/>
    </row>
    <row r="66" spans="1:17" ht="15.75" x14ac:dyDescent="0.25">
      <c r="A66" s="80" t="s">
        <v>114</v>
      </c>
      <c r="B66" s="81" t="s">
        <v>115</v>
      </c>
      <c r="C66" s="24">
        <v>5.0999999999999996</v>
      </c>
      <c r="D66" s="24">
        <v>1.5</v>
      </c>
      <c r="E66" s="46">
        <v>0</v>
      </c>
      <c r="F66" s="24"/>
      <c r="G66" s="66">
        <v>2</v>
      </c>
      <c r="H66" s="24">
        <v>2</v>
      </c>
      <c r="I66" s="46">
        <v>0</v>
      </c>
      <c r="J66" s="24"/>
      <c r="K66" s="47">
        <v>0.5</v>
      </c>
      <c r="L66" s="48">
        <f t="shared" si="26"/>
        <v>3.5</v>
      </c>
      <c r="M66" s="48">
        <f t="shared" si="26"/>
        <v>2.5</v>
      </c>
      <c r="N66" s="16">
        <f t="shared" si="27"/>
        <v>-1</v>
      </c>
      <c r="O66" s="49">
        <f t="shared" si="28"/>
        <v>0.7142857142857143</v>
      </c>
      <c r="P66" s="16">
        <f t="shared" si="16"/>
        <v>-2.5999999999999996</v>
      </c>
      <c r="Q66" s="49">
        <f t="shared" si="17"/>
        <v>0.49019607843137258</v>
      </c>
    </row>
    <row r="67" spans="1:17" ht="15.75" x14ac:dyDescent="0.25">
      <c r="A67" s="80" t="s">
        <v>116</v>
      </c>
      <c r="B67" s="81" t="s">
        <v>117</v>
      </c>
      <c r="C67" s="24">
        <v>1.4</v>
      </c>
      <c r="D67" s="24">
        <v>0.4</v>
      </c>
      <c r="E67" s="46">
        <f>0.5</f>
        <v>0.5</v>
      </c>
      <c r="F67" s="24">
        <v>0.4</v>
      </c>
      <c r="G67" s="47">
        <v>0.3</v>
      </c>
      <c r="H67" s="24">
        <v>0.4</v>
      </c>
      <c r="I67" s="46">
        <v>0.2</v>
      </c>
      <c r="J67" s="24">
        <v>0.4</v>
      </c>
      <c r="K67" s="47">
        <v>0.2</v>
      </c>
      <c r="L67" s="48">
        <f t="shared" si="26"/>
        <v>1.6</v>
      </c>
      <c r="M67" s="48">
        <f t="shared" si="26"/>
        <v>1.2</v>
      </c>
      <c r="N67" s="16">
        <f t="shared" si="27"/>
        <v>-0.40000000000000013</v>
      </c>
      <c r="O67" s="49">
        <f t="shared" si="28"/>
        <v>0.74999999999999989</v>
      </c>
      <c r="P67" s="16">
        <f t="shared" si="16"/>
        <v>-0.19999999999999996</v>
      </c>
      <c r="Q67" s="49">
        <f t="shared" si="17"/>
        <v>0.85714285714285721</v>
      </c>
    </row>
    <row r="68" spans="1:17" ht="15.75" x14ac:dyDescent="0.25">
      <c r="A68" s="80" t="s">
        <v>118</v>
      </c>
      <c r="B68" s="81" t="s">
        <v>119</v>
      </c>
      <c r="C68" s="24">
        <v>5.2</v>
      </c>
      <c r="D68" s="24">
        <v>1.3</v>
      </c>
      <c r="E68" s="46">
        <v>1.3</v>
      </c>
      <c r="F68" s="24">
        <v>1.3</v>
      </c>
      <c r="G68" s="47">
        <v>1.5</v>
      </c>
      <c r="H68" s="24">
        <v>1.3</v>
      </c>
      <c r="I68" s="46">
        <v>1.3</v>
      </c>
      <c r="J68" s="24">
        <v>1.3</v>
      </c>
      <c r="K68" s="47">
        <v>1.6</v>
      </c>
      <c r="L68" s="48">
        <f t="shared" si="26"/>
        <v>5.2</v>
      </c>
      <c r="M68" s="48">
        <f t="shared" si="26"/>
        <v>5.6999999999999993</v>
      </c>
      <c r="N68" s="16">
        <f t="shared" si="27"/>
        <v>0.49999999999999911</v>
      </c>
      <c r="O68" s="49">
        <f t="shared" si="28"/>
        <v>1.096153846153846</v>
      </c>
      <c r="P68" s="16">
        <f t="shared" si="16"/>
        <v>0.49999999999999911</v>
      </c>
      <c r="Q68" s="49">
        <f t="shared" si="17"/>
        <v>1.096153846153846</v>
      </c>
    </row>
    <row r="69" spans="1:17" ht="15.75" x14ac:dyDescent="0.25">
      <c r="A69" s="80" t="s">
        <v>120</v>
      </c>
      <c r="B69" s="81" t="s">
        <v>121</v>
      </c>
      <c r="C69" s="24">
        <v>0.04</v>
      </c>
      <c r="D69" s="24">
        <v>0.01</v>
      </c>
      <c r="E69" s="46">
        <v>0.01</v>
      </c>
      <c r="F69" s="24">
        <v>0.01</v>
      </c>
      <c r="G69" s="47">
        <v>0.01</v>
      </c>
      <c r="H69" s="24">
        <v>0.01</v>
      </c>
      <c r="I69" s="46">
        <v>0.01</v>
      </c>
      <c r="J69" s="24">
        <v>0.01</v>
      </c>
      <c r="K69" s="47">
        <v>0.01</v>
      </c>
      <c r="L69" s="48">
        <f t="shared" si="26"/>
        <v>0.04</v>
      </c>
      <c r="M69" s="48">
        <f t="shared" si="26"/>
        <v>0.04</v>
      </c>
      <c r="N69" s="16">
        <f t="shared" si="27"/>
        <v>0</v>
      </c>
      <c r="O69" s="49">
        <f t="shared" si="28"/>
        <v>1</v>
      </c>
      <c r="P69" s="16">
        <f t="shared" si="16"/>
        <v>0</v>
      </c>
      <c r="Q69" s="49">
        <f t="shared" si="17"/>
        <v>1</v>
      </c>
    </row>
    <row r="70" spans="1:17" ht="15.75" x14ac:dyDescent="0.25">
      <c r="A70" s="80" t="s">
        <v>122</v>
      </c>
      <c r="B70" s="81" t="s">
        <v>123</v>
      </c>
      <c r="C70" s="65">
        <v>0.8</v>
      </c>
      <c r="D70" s="24">
        <v>0.1</v>
      </c>
      <c r="E70" s="46">
        <v>0</v>
      </c>
      <c r="F70" s="24">
        <v>0.2</v>
      </c>
      <c r="G70" s="47">
        <v>0.2</v>
      </c>
      <c r="H70" s="24">
        <v>0.1</v>
      </c>
      <c r="I70" s="46">
        <v>0</v>
      </c>
      <c r="J70" s="24">
        <v>0.2</v>
      </c>
      <c r="K70" s="47">
        <v>0.3</v>
      </c>
      <c r="L70" s="48">
        <f t="shared" si="26"/>
        <v>0.60000000000000009</v>
      </c>
      <c r="M70" s="68">
        <f t="shared" si="26"/>
        <v>0.5</v>
      </c>
      <c r="N70" s="16">
        <f t="shared" si="27"/>
        <v>-0.10000000000000009</v>
      </c>
      <c r="O70" s="49">
        <f t="shared" si="28"/>
        <v>0.83333333333333326</v>
      </c>
      <c r="P70" s="16">
        <f t="shared" si="16"/>
        <v>-0.30000000000000004</v>
      </c>
      <c r="Q70" s="49">
        <f t="shared" si="17"/>
        <v>0.625</v>
      </c>
    </row>
    <row r="71" spans="1:17" ht="15.75" x14ac:dyDescent="0.25">
      <c r="A71" s="80" t="s">
        <v>124</v>
      </c>
      <c r="B71" s="81" t="s">
        <v>125</v>
      </c>
      <c r="C71" s="24">
        <v>0.1</v>
      </c>
      <c r="D71" s="24"/>
      <c r="E71" s="51"/>
      <c r="F71" s="24">
        <v>0.1</v>
      </c>
      <c r="G71" s="47">
        <v>0.1</v>
      </c>
      <c r="H71" s="24"/>
      <c r="I71" s="52">
        <v>0</v>
      </c>
      <c r="J71" s="24"/>
      <c r="K71" s="47"/>
      <c r="L71" s="48">
        <f t="shared" si="26"/>
        <v>0.1</v>
      </c>
      <c r="M71" s="48">
        <f t="shared" si="26"/>
        <v>0.1</v>
      </c>
      <c r="N71" s="16">
        <f t="shared" si="27"/>
        <v>0</v>
      </c>
      <c r="O71" s="49">
        <f t="shared" si="28"/>
        <v>1</v>
      </c>
      <c r="P71" s="16">
        <f t="shared" si="16"/>
        <v>0</v>
      </c>
      <c r="Q71" s="49">
        <f t="shared" si="17"/>
        <v>1</v>
      </c>
    </row>
    <row r="72" spans="1:17" ht="15.75" x14ac:dyDescent="0.25">
      <c r="A72" s="80" t="s">
        <v>126</v>
      </c>
      <c r="B72" s="81" t="s">
        <v>127</v>
      </c>
      <c r="C72" s="65">
        <v>0.4</v>
      </c>
      <c r="D72" s="24">
        <v>0.1</v>
      </c>
      <c r="E72" s="46">
        <v>0.1</v>
      </c>
      <c r="F72" s="24">
        <v>0.2</v>
      </c>
      <c r="G72" s="47">
        <v>0.1</v>
      </c>
      <c r="H72" s="24">
        <v>0.1</v>
      </c>
      <c r="I72" s="46">
        <v>0.2</v>
      </c>
      <c r="J72" s="24">
        <v>0.1</v>
      </c>
      <c r="K72" s="47">
        <v>0.1</v>
      </c>
      <c r="L72" s="48">
        <f t="shared" si="26"/>
        <v>0.5</v>
      </c>
      <c r="M72" s="68">
        <f t="shared" si="26"/>
        <v>0.5</v>
      </c>
      <c r="N72" s="16">
        <f t="shared" si="27"/>
        <v>0</v>
      </c>
      <c r="O72" s="49">
        <f t="shared" si="28"/>
        <v>1</v>
      </c>
      <c r="P72" s="16">
        <f t="shared" si="16"/>
        <v>9.9999999999999978E-2</v>
      </c>
      <c r="Q72" s="49">
        <f t="shared" si="17"/>
        <v>1.25</v>
      </c>
    </row>
    <row r="73" spans="1:17" ht="15.75" x14ac:dyDescent="0.25">
      <c r="A73" s="80" t="s">
        <v>128</v>
      </c>
      <c r="B73" s="81" t="s">
        <v>129</v>
      </c>
      <c r="C73" s="24">
        <v>0</v>
      </c>
      <c r="D73" s="24"/>
      <c r="E73" s="51"/>
      <c r="F73" s="24"/>
      <c r="G73" s="47"/>
      <c r="H73" s="24"/>
      <c r="I73" s="52"/>
      <c r="J73" s="24"/>
      <c r="K73" s="47"/>
      <c r="L73" s="48">
        <f t="shared" si="26"/>
        <v>0</v>
      </c>
      <c r="M73" s="48">
        <f t="shared" si="26"/>
        <v>0</v>
      </c>
      <c r="N73" s="16">
        <f t="shared" si="27"/>
        <v>0</v>
      </c>
      <c r="O73" s="49"/>
      <c r="P73" s="16">
        <f t="shared" si="16"/>
        <v>0</v>
      </c>
      <c r="Q73" s="49"/>
    </row>
    <row r="74" spans="1:17" ht="15.75" x14ac:dyDescent="0.25">
      <c r="A74" s="80" t="s">
        <v>130</v>
      </c>
      <c r="B74" s="81" t="s">
        <v>131</v>
      </c>
      <c r="C74" s="24">
        <v>4.9000000000000004</v>
      </c>
      <c r="D74" s="24">
        <v>1.3</v>
      </c>
      <c r="E74" s="46">
        <v>1.2</v>
      </c>
      <c r="F74" s="24">
        <v>1.3</v>
      </c>
      <c r="G74" s="66">
        <v>1</v>
      </c>
      <c r="H74" s="24">
        <v>1.2</v>
      </c>
      <c r="I74" s="46">
        <v>0.8</v>
      </c>
      <c r="J74" s="24">
        <v>1.3</v>
      </c>
      <c r="K74" s="66">
        <v>1</v>
      </c>
      <c r="L74" s="48">
        <f t="shared" si="26"/>
        <v>5.0999999999999996</v>
      </c>
      <c r="M74" s="68">
        <f t="shared" si="26"/>
        <v>4</v>
      </c>
      <c r="N74" s="16">
        <f t="shared" si="27"/>
        <v>-1.0999999999999996</v>
      </c>
      <c r="O74" s="49">
        <f t="shared" si="28"/>
        <v>0.78431372549019618</v>
      </c>
      <c r="P74" s="16">
        <f t="shared" si="16"/>
        <v>-0.90000000000000036</v>
      </c>
      <c r="Q74" s="49">
        <f t="shared" si="17"/>
        <v>0.81632653061224481</v>
      </c>
    </row>
    <row r="75" spans="1:17" ht="15.75" x14ac:dyDescent="0.25">
      <c r="A75" s="80" t="s">
        <v>132</v>
      </c>
      <c r="B75" s="81" t="s">
        <v>133</v>
      </c>
      <c r="C75" s="65">
        <v>0.30000000000000004</v>
      </c>
      <c r="D75" s="24">
        <v>0.1</v>
      </c>
      <c r="E75" s="46">
        <v>0.1</v>
      </c>
      <c r="F75" s="24">
        <v>0.1</v>
      </c>
      <c r="G75" s="47">
        <v>0.1</v>
      </c>
      <c r="H75" s="24"/>
      <c r="I75" s="46">
        <v>0</v>
      </c>
      <c r="J75" s="24">
        <v>0.1</v>
      </c>
      <c r="K75" s="47">
        <v>0.1</v>
      </c>
      <c r="L75" s="48">
        <f t="shared" si="26"/>
        <v>0.30000000000000004</v>
      </c>
      <c r="M75" s="68">
        <f t="shared" si="26"/>
        <v>0.30000000000000004</v>
      </c>
      <c r="N75" s="16">
        <f t="shared" si="27"/>
        <v>0</v>
      </c>
      <c r="O75" s="49">
        <f t="shared" si="28"/>
        <v>1</v>
      </c>
      <c r="P75" s="16">
        <f t="shared" si="16"/>
        <v>0</v>
      </c>
      <c r="Q75" s="49">
        <f t="shared" si="17"/>
        <v>1</v>
      </c>
    </row>
    <row r="76" spans="1:17" ht="15.75" x14ac:dyDescent="0.25">
      <c r="A76" s="80" t="s">
        <v>134</v>
      </c>
      <c r="B76" s="81" t="s">
        <v>135</v>
      </c>
      <c r="C76" s="24">
        <v>0.30000000000000004</v>
      </c>
      <c r="D76" s="24">
        <v>0.1</v>
      </c>
      <c r="E76" s="46">
        <v>0.1</v>
      </c>
      <c r="F76" s="24">
        <v>0.1</v>
      </c>
      <c r="G76" s="47">
        <v>0.1</v>
      </c>
      <c r="H76" s="24"/>
      <c r="I76" s="52">
        <v>0</v>
      </c>
      <c r="J76" s="24">
        <v>0.1</v>
      </c>
      <c r="K76" s="47">
        <v>0.1</v>
      </c>
      <c r="L76" s="48">
        <f t="shared" si="26"/>
        <v>0.30000000000000004</v>
      </c>
      <c r="M76" s="48">
        <f t="shared" si="26"/>
        <v>0.30000000000000004</v>
      </c>
      <c r="N76" s="16">
        <f t="shared" si="27"/>
        <v>0</v>
      </c>
      <c r="O76" s="49">
        <f t="shared" si="28"/>
        <v>1</v>
      </c>
      <c r="P76" s="16">
        <f t="shared" si="16"/>
        <v>0</v>
      </c>
      <c r="Q76" s="49">
        <f t="shared" si="17"/>
        <v>1</v>
      </c>
    </row>
    <row r="77" spans="1:17" ht="15.75" x14ac:dyDescent="0.25">
      <c r="A77" s="80" t="s">
        <v>136</v>
      </c>
      <c r="B77" s="81" t="s">
        <v>137</v>
      </c>
      <c r="C77" s="24">
        <v>0.70000000000000007</v>
      </c>
      <c r="D77" s="24">
        <v>0.1</v>
      </c>
      <c r="E77" s="46">
        <v>0.4</v>
      </c>
      <c r="F77" s="24">
        <v>0.2</v>
      </c>
      <c r="G77" s="47">
        <v>0</v>
      </c>
      <c r="H77" s="24">
        <v>0.2</v>
      </c>
      <c r="I77" s="46">
        <v>0</v>
      </c>
      <c r="J77" s="24">
        <v>0.2</v>
      </c>
      <c r="K77" s="47">
        <v>0.2</v>
      </c>
      <c r="L77" s="48">
        <f t="shared" si="26"/>
        <v>0.7</v>
      </c>
      <c r="M77" s="48">
        <f t="shared" si="26"/>
        <v>0.60000000000000009</v>
      </c>
      <c r="N77" s="16">
        <f t="shared" si="27"/>
        <v>-9.9999999999999867E-2</v>
      </c>
      <c r="O77" s="49">
        <f t="shared" si="28"/>
        <v>0.85714285714285732</v>
      </c>
      <c r="P77" s="16">
        <f t="shared" si="16"/>
        <v>-9.9999999999999978E-2</v>
      </c>
      <c r="Q77" s="49">
        <f t="shared" si="17"/>
        <v>0.85714285714285721</v>
      </c>
    </row>
    <row r="78" spans="1:17" ht="15.75" x14ac:dyDescent="0.25">
      <c r="A78" s="80" t="s">
        <v>138</v>
      </c>
      <c r="B78" s="81" t="s">
        <v>139</v>
      </c>
      <c r="C78" s="24">
        <v>0.1</v>
      </c>
      <c r="D78" s="24"/>
      <c r="E78" s="51"/>
      <c r="F78" s="24"/>
      <c r="G78" s="47"/>
      <c r="H78" s="24">
        <v>0.1</v>
      </c>
      <c r="I78" s="52">
        <v>0</v>
      </c>
      <c r="J78" s="24"/>
      <c r="K78" s="47">
        <v>0.1</v>
      </c>
      <c r="L78" s="48">
        <f t="shared" si="26"/>
        <v>0.1</v>
      </c>
      <c r="M78" s="48">
        <f t="shared" si="26"/>
        <v>0.1</v>
      </c>
      <c r="N78" s="16">
        <f t="shared" si="27"/>
        <v>0</v>
      </c>
      <c r="O78" s="49"/>
      <c r="P78" s="16">
        <f t="shared" si="16"/>
        <v>0</v>
      </c>
      <c r="Q78" s="49"/>
    </row>
    <row r="79" spans="1:17" ht="15.75" x14ac:dyDescent="0.25">
      <c r="A79" s="80" t="s">
        <v>140</v>
      </c>
      <c r="B79" s="81" t="s">
        <v>141</v>
      </c>
      <c r="C79" s="24">
        <v>1.2</v>
      </c>
      <c r="D79" s="24">
        <v>0.2</v>
      </c>
      <c r="E79" s="46">
        <v>0.3</v>
      </c>
      <c r="F79" s="24">
        <v>0.3</v>
      </c>
      <c r="G79" s="47">
        <v>0.3</v>
      </c>
      <c r="H79" s="24">
        <v>0.2</v>
      </c>
      <c r="I79" s="46">
        <v>0.2</v>
      </c>
      <c r="J79" s="24">
        <v>0.3</v>
      </c>
      <c r="K79" s="47">
        <v>0.2</v>
      </c>
      <c r="L79" s="48">
        <f t="shared" si="26"/>
        <v>1</v>
      </c>
      <c r="M79" s="68">
        <f t="shared" si="26"/>
        <v>1</v>
      </c>
      <c r="N79" s="16">
        <f t="shared" si="27"/>
        <v>0</v>
      </c>
      <c r="O79" s="49">
        <f t="shared" si="28"/>
        <v>1</v>
      </c>
      <c r="P79" s="16">
        <f t="shared" si="16"/>
        <v>-0.19999999999999996</v>
      </c>
      <c r="Q79" s="49">
        <f t="shared" si="17"/>
        <v>0.83333333333333337</v>
      </c>
    </row>
    <row r="80" spans="1:17" ht="15.75" x14ac:dyDescent="0.25">
      <c r="A80" s="80" t="s">
        <v>142</v>
      </c>
      <c r="B80" s="81" t="s">
        <v>143</v>
      </c>
      <c r="C80" s="24">
        <v>2.8</v>
      </c>
      <c r="D80" s="24">
        <v>0.7</v>
      </c>
      <c r="E80" s="46">
        <v>0.7</v>
      </c>
      <c r="F80" s="24">
        <v>0.7</v>
      </c>
      <c r="G80" s="47">
        <v>0.7</v>
      </c>
      <c r="H80" s="24">
        <v>0.8</v>
      </c>
      <c r="I80" s="46">
        <v>0.8</v>
      </c>
      <c r="J80" s="24">
        <v>0.7</v>
      </c>
      <c r="K80" s="47">
        <v>0.7</v>
      </c>
      <c r="L80" s="48">
        <f t="shared" si="26"/>
        <v>2.9000000000000004</v>
      </c>
      <c r="M80" s="48">
        <f t="shared" si="26"/>
        <v>2.9000000000000004</v>
      </c>
      <c r="N80" s="16">
        <f t="shared" si="27"/>
        <v>0</v>
      </c>
      <c r="O80" s="49">
        <f t="shared" si="28"/>
        <v>1</v>
      </c>
      <c r="P80" s="16">
        <f t="shared" si="16"/>
        <v>0.10000000000000053</v>
      </c>
      <c r="Q80" s="49">
        <f t="shared" si="17"/>
        <v>1.0357142857142858</v>
      </c>
    </row>
    <row r="81" spans="1:17" ht="15.75" x14ac:dyDescent="0.25">
      <c r="A81" s="80" t="s">
        <v>144</v>
      </c>
      <c r="B81" s="81" t="s">
        <v>145</v>
      </c>
      <c r="C81" s="24">
        <v>0.3</v>
      </c>
      <c r="D81" s="24"/>
      <c r="E81" s="51"/>
      <c r="F81" s="24"/>
      <c r="G81" s="47"/>
      <c r="H81" s="24"/>
      <c r="I81" s="52"/>
      <c r="J81" s="24">
        <v>0.5</v>
      </c>
      <c r="K81" s="47">
        <v>0</v>
      </c>
      <c r="L81" s="48">
        <f t="shared" si="26"/>
        <v>0.5</v>
      </c>
      <c r="M81" s="48">
        <f t="shared" si="26"/>
        <v>0</v>
      </c>
      <c r="N81" s="16"/>
      <c r="O81" s="49"/>
      <c r="P81" s="16"/>
      <c r="Q81" s="49"/>
    </row>
    <row r="82" spans="1:17" ht="15.75" x14ac:dyDescent="0.25">
      <c r="A82" s="80" t="s">
        <v>146</v>
      </c>
      <c r="B82" s="81" t="s">
        <v>147</v>
      </c>
      <c r="C82" s="24">
        <v>1.2</v>
      </c>
      <c r="D82" s="24">
        <v>0.1</v>
      </c>
      <c r="E82" s="46">
        <v>0.1</v>
      </c>
      <c r="F82" s="24">
        <v>0.3</v>
      </c>
      <c r="G82" s="47">
        <v>0.3</v>
      </c>
      <c r="H82" s="24">
        <v>0.5</v>
      </c>
      <c r="I82" s="46">
        <v>0.2</v>
      </c>
      <c r="J82" s="24">
        <v>0.5</v>
      </c>
      <c r="K82" s="47">
        <v>0.6</v>
      </c>
      <c r="L82" s="48">
        <f t="shared" si="26"/>
        <v>1.4</v>
      </c>
      <c r="M82" s="48">
        <f t="shared" si="26"/>
        <v>1.2000000000000002</v>
      </c>
      <c r="N82" s="16">
        <f t="shared" si="27"/>
        <v>-0.19999999999999973</v>
      </c>
      <c r="O82" s="49">
        <f t="shared" si="28"/>
        <v>0.85714285714285732</v>
      </c>
      <c r="P82" s="16">
        <f t="shared" si="16"/>
        <v>0</v>
      </c>
      <c r="Q82" s="49">
        <f t="shared" si="17"/>
        <v>1.0000000000000002</v>
      </c>
    </row>
    <row r="83" spans="1:17" ht="15.75" x14ac:dyDescent="0.25">
      <c r="A83" s="80" t="s">
        <v>148</v>
      </c>
      <c r="B83" s="81" t="s">
        <v>149</v>
      </c>
      <c r="C83" s="24">
        <v>0.30000000000000004</v>
      </c>
      <c r="D83" s="24"/>
      <c r="E83" s="51"/>
      <c r="F83" s="24">
        <v>0.1</v>
      </c>
      <c r="G83" s="47">
        <v>0.1</v>
      </c>
      <c r="H83" s="24"/>
      <c r="I83" s="46">
        <v>0</v>
      </c>
      <c r="J83" s="24">
        <v>0.2</v>
      </c>
      <c r="K83" s="47">
        <v>0.2</v>
      </c>
      <c r="L83" s="48">
        <f t="shared" si="26"/>
        <v>0.30000000000000004</v>
      </c>
      <c r="M83" s="48">
        <f t="shared" si="26"/>
        <v>0.30000000000000004</v>
      </c>
      <c r="N83" s="16">
        <f t="shared" si="27"/>
        <v>0</v>
      </c>
      <c r="O83" s="49">
        <f t="shared" si="28"/>
        <v>1</v>
      </c>
      <c r="P83" s="16">
        <f t="shared" si="16"/>
        <v>0</v>
      </c>
      <c r="Q83" s="49">
        <f t="shared" si="17"/>
        <v>1</v>
      </c>
    </row>
    <row r="84" spans="1:17" ht="15.75" x14ac:dyDescent="0.25">
      <c r="A84" s="80" t="s">
        <v>150</v>
      </c>
      <c r="B84" s="81" t="s">
        <v>151</v>
      </c>
      <c r="C84" s="65">
        <v>2.5999999999999996</v>
      </c>
      <c r="D84" s="24">
        <v>0.6</v>
      </c>
      <c r="E84" s="46">
        <v>0.6</v>
      </c>
      <c r="F84" s="24">
        <v>0.7</v>
      </c>
      <c r="G84" s="47">
        <v>0.6</v>
      </c>
      <c r="H84" s="24">
        <v>0.6</v>
      </c>
      <c r="I84" s="46">
        <v>0.7</v>
      </c>
      <c r="J84" s="24">
        <v>0.6</v>
      </c>
      <c r="K84" s="47">
        <v>0.9</v>
      </c>
      <c r="L84" s="48">
        <f t="shared" si="26"/>
        <v>2.5</v>
      </c>
      <c r="M84" s="68">
        <f t="shared" si="26"/>
        <v>2.8</v>
      </c>
      <c r="N84" s="16">
        <f t="shared" si="27"/>
        <v>0.29999999999999982</v>
      </c>
      <c r="O84" s="49">
        <f t="shared" si="28"/>
        <v>1.1199999999999999</v>
      </c>
      <c r="P84" s="16">
        <f t="shared" si="16"/>
        <v>0.20000000000000018</v>
      </c>
      <c r="Q84" s="49">
        <f t="shared" si="17"/>
        <v>1.0769230769230771</v>
      </c>
    </row>
    <row r="85" spans="1:17" ht="15.75" x14ac:dyDescent="0.25">
      <c r="A85" s="10"/>
      <c r="B85" s="96"/>
      <c r="C85" s="24"/>
      <c r="D85" s="24"/>
      <c r="E85" s="51"/>
      <c r="F85" s="24"/>
      <c r="G85" s="47"/>
      <c r="H85" s="24"/>
      <c r="I85" s="52"/>
      <c r="J85" s="24"/>
      <c r="K85" s="47"/>
      <c r="L85" s="48"/>
      <c r="M85" s="53"/>
      <c r="N85" s="16"/>
      <c r="O85" s="49"/>
      <c r="P85" s="78"/>
      <c r="Q85" s="79"/>
    </row>
    <row r="86" spans="1:17" ht="15.75" x14ac:dyDescent="0.25">
      <c r="A86" s="35" t="s">
        <v>152</v>
      </c>
      <c r="B86" s="83" t="s">
        <v>153</v>
      </c>
      <c r="C86" s="24">
        <v>0.8</v>
      </c>
      <c r="D86" s="24">
        <v>0.3</v>
      </c>
      <c r="E86" s="46">
        <v>0.1</v>
      </c>
      <c r="F86" s="24">
        <v>0.3</v>
      </c>
      <c r="G86" s="47">
        <v>0.2</v>
      </c>
      <c r="H86" s="24">
        <v>0.3</v>
      </c>
      <c r="I86" s="46">
        <v>0.2</v>
      </c>
      <c r="J86" s="24">
        <v>0.3</v>
      </c>
      <c r="K86" s="47">
        <v>0.2</v>
      </c>
      <c r="L86" s="48">
        <f>D86+F86+H86+J86</f>
        <v>1.2</v>
      </c>
      <c r="M86" s="48">
        <f>E86+G86+I86+K86</f>
        <v>0.7</v>
      </c>
      <c r="N86" s="78">
        <f>M86-L86</f>
        <v>-0.5</v>
      </c>
      <c r="O86" s="79">
        <f>M86/L86</f>
        <v>0.58333333333333337</v>
      </c>
      <c r="P86" s="16">
        <f t="shared" si="16"/>
        <v>-0.10000000000000009</v>
      </c>
      <c r="Q86" s="49">
        <f t="shared" si="17"/>
        <v>0.87499999999999989</v>
      </c>
    </row>
    <row r="87" spans="1:17" ht="15.75" x14ac:dyDescent="0.25">
      <c r="A87" s="35" t="s">
        <v>154</v>
      </c>
      <c r="B87" s="83" t="s">
        <v>111</v>
      </c>
      <c r="C87" s="24">
        <v>1.4000000000000001</v>
      </c>
      <c r="D87" s="24">
        <v>0.4</v>
      </c>
      <c r="E87" s="46">
        <f>0.5-E64</f>
        <v>0.3</v>
      </c>
      <c r="F87" s="24">
        <v>0.4</v>
      </c>
      <c r="G87" s="47">
        <v>0.4</v>
      </c>
      <c r="H87" s="24">
        <v>0.3</v>
      </c>
      <c r="I87" s="46">
        <v>0.3</v>
      </c>
      <c r="J87" s="24">
        <v>0.4</v>
      </c>
      <c r="K87" s="47">
        <v>0.3</v>
      </c>
      <c r="L87" s="48">
        <f t="shared" ref="L87:M95" si="29">D87+F87+H87+J87</f>
        <v>1.5</v>
      </c>
      <c r="M87" s="68">
        <f t="shared" si="29"/>
        <v>1.3</v>
      </c>
      <c r="N87" s="78">
        <f t="shared" ref="N87:N98" si="30">M87-L87</f>
        <v>-0.19999999999999996</v>
      </c>
      <c r="O87" s="79">
        <f t="shared" ref="O87:O98" si="31">M87/L87</f>
        <v>0.8666666666666667</v>
      </c>
      <c r="P87" s="16">
        <f t="shared" si="16"/>
        <v>-0.10000000000000009</v>
      </c>
      <c r="Q87" s="49">
        <f t="shared" si="17"/>
        <v>0.92857142857142849</v>
      </c>
    </row>
    <row r="88" spans="1:17" ht="15.75" x14ac:dyDescent="0.25">
      <c r="A88" s="35" t="s">
        <v>155</v>
      </c>
      <c r="B88" s="83" t="s">
        <v>156</v>
      </c>
      <c r="C88" s="24">
        <v>6.4</v>
      </c>
      <c r="D88" s="24">
        <v>1.5</v>
      </c>
      <c r="E88" s="46">
        <v>1.6</v>
      </c>
      <c r="F88" s="24">
        <v>1.6</v>
      </c>
      <c r="G88" s="47">
        <v>1.3</v>
      </c>
      <c r="H88" s="24">
        <v>1.5</v>
      </c>
      <c r="I88" s="46">
        <v>1.1000000000000001</v>
      </c>
      <c r="J88" s="24">
        <v>1.5</v>
      </c>
      <c r="K88" s="47">
        <v>1.2</v>
      </c>
      <c r="L88" s="48">
        <f t="shared" si="29"/>
        <v>6.1</v>
      </c>
      <c r="M88" s="48">
        <f t="shared" si="29"/>
        <v>5.2</v>
      </c>
      <c r="N88" s="78">
        <f t="shared" si="30"/>
        <v>-0.89999999999999947</v>
      </c>
      <c r="O88" s="79">
        <f t="shared" si="31"/>
        <v>0.85245901639344268</v>
      </c>
      <c r="P88" s="16">
        <f t="shared" si="16"/>
        <v>-1.2000000000000002</v>
      </c>
      <c r="Q88" s="49">
        <f t="shared" si="17"/>
        <v>0.8125</v>
      </c>
    </row>
    <row r="89" spans="1:17" ht="15.75" x14ac:dyDescent="0.25">
      <c r="A89" s="35" t="s">
        <v>157</v>
      </c>
      <c r="B89" s="83" t="s">
        <v>158</v>
      </c>
      <c r="C89" s="24">
        <v>50.8</v>
      </c>
      <c r="D89" s="24">
        <v>12.7</v>
      </c>
      <c r="E89" s="67">
        <v>10.199999999999999</v>
      </c>
      <c r="F89" s="24">
        <v>12.8</v>
      </c>
      <c r="G89" s="47">
        <f>11.1-0.1</f>
        <v>11</v>
      </c>
      <c r="H89" s="24">
        <v>12.8</v>
      </c>
      <c r="I89" s="46">
        <v>9.1999999999999993</v>
      </c>
      <c r="J89" s="24">
        <v>12.7</v>
      </c>
      <c r="K89" s="47">
        <f>7.9+0.8</f>
        <v>8.7000000000000011</v>
      </c>
      <c r="L89" s="48">
        <f t="shared" si="29"/>
        <v>51</v>
      </c>
      <c r="M89" s="48">
        <f t="shared" si="29"/>
        <v>39.1</v>
      </c>
      <c r="N89" s="78">
        <f t="shared" si="30"/>
        <v>-11.899999999999999</v>
      </c>
      <c r="O89" s="79">
        <f t="shared" si="31"/>
        <v>0.76666666666666672</v>
      </c>
      <c r="P89" s="16">
        <f t="shared" si="16"/>
        <v>-11.699999999999996</v>
      </c>
      <c r="Q89" s="49">
        <f t="shared" si="17"/>
        <v>0.76968503937007882</v>
      </c>
    </row>
    <row r="90" spans="1:17" ht="28.5" x14ac:dyDescent="0.25">
      <c r="A90" s="35" t="s">
        <v>159</v>
      </c>
      <c r="B90" s="93" t="s">
        <v>160</v>
      </c>
      <c r="C90" s="65">
        <v>9.5</v>
      </c>
      <c r="D90" s="24">
        <v>2.4</v>
      </c>
      <c r="E90" s="46">
        <v>3.1</v>
      </c>
      <c r="F90" s="24">
        <v>2.4</v>
      </c>
      <c r="G90" s="47">
        <v>2.9</v>
      </c>
      <c r="H90" s="24">
        <v>2.4</v>
      </c>
      <c r="I90" s="46">
        <v>2.6</v>
      </c>
      <c r="J90" s="24">
        <v>2.4</v>
      </c>
      <c r="K90" s="47">
        <v>2.7</v>
      </c>
      <c r="L90" s="48">
        <f t="shared" si="29"/>
        <v>9.6</v>
      </c>
      <c r="M90" s="68">
        <f t="shared" si="29"/>
        <v>11.3</v>
      </c>
      <c r="N90" s="78">
        <f t="shared" si="30"/>
        <v>1.7000000000000011</v>
      </c>
      <c r="O90" s="79">
        <f t="shared" si="31"/>
        <v>1.1770833333333335</v>
      </c>
      <c r="P90" s="16">
        <f t="shared" si="16"/>
        <v>1.8000000000000007</v>
      </c>
      <c r="Q90" s="49">
        <f t="shared" si="17"/>
        <v>1.1894736842105265</v>
      </c>
    </row>
    <row r="91" spans="1:17" ht="15.75" x14ac:dyDescent="0.25">
      <c r="A91" s="35" t="s">
        <v>161</v>
      </c>
      <c r="B91" s="93" t="s">
        <v>162</v>
      </c>
      <c r="C91" s="24">
        <v>6.6</v>
      </c>
      <c r="D91" s="24">
        <v>2.2000000000000002</v>
      </c>
      <c r="E91" s="46">
        <v>2.1</v>
      </c>
      <c r="F91" s="24">
        <v>2.2999999999999998</v>
      </c>
      <c r="G91" s="47">
        <v>1.9</v>
      </c>
      <c r="H91" s="24">
        <v>2.2000000000000002</v>
      </c>
      <c r="I91" s="46">
        <v>1</v>
      </c>
      <c r="J91" s="24">
        <v>2.2999999999999998</v>
      </c>
      <c r="K91" s="47">
        <v>1.7</v>
      </c>
      <c r="L91" s="48">
        <f t="shared" si="29"/>
        <v>9</v>
      </c>
      <c r="M91" s="68">
        <f t="shared" si="29"/>
        <v>6.7</v>
      </c>
      <c r="N91" s="78">
        <f t="shared" si="30"/>
        <v>-2.2999999999999998</v>
      </c>
      <c r="O91" s="79">
        <f t="shared" si="31"/>
        <v>0.74444444444444446</v>
      </c>
      <c r="P91" s="16">
        <f t="shared" si="16"/>
        <v>0.10000000000000053</v>
      </c>
      <c r="Q91" s="49">
        <f t="shared" si="17"/>
        <v>1.0151515151515151</v>
      </c>
    </row>
    <row r="92" spans="1:17" ht="15.75" x14ac:dyDescent="0.25">
      <c r="A92" s="35" t="s">
        <v>163</v>
      </c>
      <c r="B92" s="83" t="s">
        <v>164</v>
      </c>
      <c r="C92" s="24">
        <v>2.4</v>
      </c>
      <c r="D92" s="24">
        <v>0.6</v>
      </c>
      <c r="E92" s="46">
        <v>0.6</v>
      </c>
      <c r="F92" s="24">
        <v>0.6</v>
      </c>
      <c r="G92" s="47">
        <v>0.5</v>
      </c>
      <c r="H92" s="24">
        <v>0.6</v>
      </c>
      <c r="I92" s="46">
        <v>0.5</v>
      </c>
      <c r="J92" s="24">
        <v>0.7</v>
      </c>
      <c r="K92" s="47">
        <v>0.6</v>
      </c>
      <c r="L92" s="48">
        <f t="shared" si="29"/>
        <v>2.5</v>
      </c>
      <c r="M92" s="48">
        <f t="shared" si="29"/>
        <v>2.2000000000000002</v>
      </c>
      <c r="N92" s="78">
        <f t="shared" si="30"/>
        <v>-0.29999999999999982</v>
      </c>
      <c r="O92" s="79">
        <f t="shared" si="31"/>
        <v>0.88000000000000012</v>
      </c>
      <c r="P92" s="16">
        <f t="shared" si="16"/>
        <v>-0.19999999999999973</v>
      </c>
      <c r="Q92" s="49">
        <f t="shared" si="17"/>
        <v>0.91666666666666674</v>
      </c>
    </row>
    <row r="93" spans="1:17" ht="15.75" x14ac:dyDescent="0.25">
      <c r="A93" s="35" t="s">
        <v>165</v>
      </c>
      <c r="B93" s="83" t="s">
        <v>166</v>
      </c>
      <c r="C93" s="24">
        <v>0</v>
      </c>
      <c r="D93" s="24"/>
      <c r="E93" s="51"/>
      <c r="F93" s="24"/>
      <c r="G93" s="47"/>
      <c r="H93" s="24"/>
      <c r="I93" s="52"/>
      <c r="J93" s="24"/>
      <c r="K93" s="47"/>
      <c r="L93" s="48">
        <f t="shared" si="29"/>
        <v>0</v>
      </c>
      <c r="M93" s="48">
        <f t="shared" si="29"/>
        <v>0</v>
      </c>
      <c r="N93" s="78">
        <f t="shared" si="30"/>
        <v>0</v>
      </c>
      <c r="O93" s="79"/>
      <c r="P93" s="16">
        <f t="shared" si="16"/>
        <v>0</v>
      </c>
      <c r="Q93" s="49"/>
    </row>
    <row r="94" spans="1:17" ht="15.75" x14ac:dyDescent="0.25">
      <c r="A94" s="35" t="s">
        <v>167</v>
      </c>
      <c r="B94" s="97" t="s">
        <v>168</v>
      </c>
      <c r="C94" s="24">
        <v>1.7</v>
      </c>
      <c r="D94" s="24"/>
      <c r="E94" s="51"/>
      <c r="F94" s="24"/>
      <c r="G94" s="47"/>
      <c r="H94" s="24"/>
      <c r="I94" s="52"/>
      <c r="J94" s="24">
        <v>1.8</v>
      </c>
      <c r="K94" s="47">
        <v>1.7</v>
      </c>
      <c r="L94" s="48">
        <f t="shared" si="29"/>
        <v>1.8</v>
      </c>
      <c r="M94" s="48">
        <f t="shared" si="29"/>
        <v>1.7</v>
      </c>
      <c r="N94" s="78"/>
      <c r="O94" s="79"/>
      <c r="P94" s="16">
        <f t="shared" si="16"/>
        <v>0</v>
      </c>
      <c r="Q94" s="49"/>
    </row>
    <row r="95" spans="1:17" ht="15.75" x14ac:dyDescent="0.25">
      <c r="A95" s="35" t="s">
        <v>169</v>
      </c>
      <c r="B95" s="98" t="s">
        <v>170</v>
      </c>
      <c r="C95" s="24">
        <v>1.4</v>
      </c>
      <c r="D95" s="24"/>
      <c r="E95" s="51"/>
      <c r="F95" s="24"/>
      <c r="G95" s="47"/>
      <c r="H95" s="24"/>
      <c r="I95" s="52"/>
      <c r="J95" s="24">
        <v>1.4</v>
      </c>
      <c r="K95" s="47">
        <v>1.4</v>
      </c>
      <c r="L95" s="48">
        <f t="shared" si="29"/>
        <v>1.4</v>
      </c>
      <c r="M95" s="48">
        <f t="shared" si="29"/>
        <v>1.4</v>
      </c>
      <c r="N95" s="78"/>
      <c r="O95" s="79"/>
      <c r="P95" s="16">
        <f t="shared" si="16"/>
        <v>0</v>
      </c>
      <c r="Q95" s="49"/>
    </row>
    <row r="96" spans="1:17" ht="15.75" x14ac:dyDescent="0.25">
      <c r="A96" s="35" t="s">
        <v>171</v>
      </c>
      <c r="B96" s="98" t="s">
        <v>172</v>
      </c>
      <c r="C96" s="24">
        <v>0.5</v>
      </c>
      <c r="D96" s="24"/>
      <c r="E96" s="51"/>
      <c r="F96" s="24"/>
      <c r="G96" s="47">
        <v>0.6</v>
      </c>
      <c r="H96" s="24"/>
      <c r="I96" s="46">
        <v>0.2</v>
      </c>
      <c r="J96" s="24"/>
      <c r="K96" s="47"/>
      <c r="L96" s="48">
        <f>D96+F96+H96+J96</f>
        <v>0</v>
      </c>
      <c r="M96" s="48">
        <f>E96+G96+I96+K96</f>
        <v>0.8</v>
      </c>
      <c r="N96" s="78"/>
      <c r="O96" s="79"/>
      <c r="P96" s="16">
        <f>M96-C96</f>
        <v>0.30000000000000004</v>
      </c>
      <c r="Q96" s="49"/>
    </row>
    <row r="97" spans="1:17" ht="15.75" x14ac:dyDescent="0.25">
      <c r="A97" s="35" t="s">
        <v>173</v>
      </c>
      <c r="B97" s="98" t="s">
        <v>174</v>
      </c>
      <c r="C97" s="24">
        <v>5.6999999999999993</v>
      </c>
      <c r="D97" s="24">
        <v>2</v>
      </c>
      <c r="E97" s="46">
        <v>1.2</v>
      </c>
      <c r="F97" s="24">
        <v>2</v>
      </c>
      <c r="G97" s="47">
        <v>1.8</v>
      </c>
      <c r="H97" s="24">
        <v>2</v>
      </c>
      <c r="I97" s="67">
        <v>1.4</v>
      </c>
      <c r="J97" s="24">
        <v>1.9</v>
      </c>
      <c r="K97" s="47">
        <v>1.3</v>
      </c>
      <c r="L97" s="48">
        <f>D97+F97+H97+J97</f>
        <v>7.9</v>
      </c>
      <c r="M97" s="48">
        <f>E97+G97+I97+K97</f>
        <v>5.7</v>
      </c>
      <c r="N97" s="78">
        <f>M97-L97</f>
        <v>-2.2000000000000002</v>
      </c>
      <c r="O97" s="79">
        <f>M97/L97</f>
        <v>0.72151898734177211</v>
      </c>
      <c r="P97" s="16">
        <f>M97-C97</f>
        <v>0</v>
      </c>
      <c r="Q97" s="49">
        <f>M97/C97</f>
        <v>1.0000000000000002</v>
      </c>
    </row>
    <row r="98" spans="1:17" ht="15.75" x14ac:dyDescent="0.25">
      <c r="A98" s="35" t="s">
        <v>175</v>
      </c>
      <c r="B98" s="83" t="s">
        <v>176</v>
      </c>
      <c r="C98" s="75">
        <f t="shared" ref="C98:M98" si="32">SUM(C99:C111)</f>
        <v>101.20000000000002</v>
      </c>
      <c r="D98" s="75">
        <f t="shared" si="32"/>
        <v>29.1</v>
      </c>
      <c r="E98" s="72">
        <f t="shared" si="32"/>
        <v>26.700000000000003</v>
      </c>
      <c r="F98" s="75">
        <f t="shared" si="32"/>
        <v>20.700000000000003</v>
      </c>
      <c r="G98" s="84">
        <f t="shared" si="32"/>
        <v>22.900000000000002</v>
      </c>
      <c r="H98" s="75">
        <f t="shared" si="32"/>
        <v>20.300000000000004</v>
      </c>
      <c r="I98" s="72">
        <f t="shared" si="32"/>
        <v>16.500000000000004</v>
      </c>
      <c r="J98" s="75">
        <f t="shared" si="32"/>
        <v>26.300000000000004</v>
      </c>
      <c r="K98" s="84">
        <f t="shared" si="32"/>
        <v>23.9</v>
      </c>
      <c r="L98" s="76">
        <f t="shared" si="32"/>
        <v>96.4</v>
      </c>
      <c r="M98" s="76">
        <f t="shared" si="32"/>
        <v>90</v>
      </c>
      <c r="N98" s="78">
        <f t="shared" si="30"/>
        <v>-6.4000000000000057</v>
      </c>
      <c r="O98" s="79">
        <f t="shared" si="31"/>
        <v>0.93360995850622397</v>
      </c>
      <c r="P98" s="16">
        <f t="shared" si="16"/>
        <v>-11.200000000000017</v>
      </c>
      <c r="Q98" s="49">
        <f t="shared" si="17"/>
        <v>0.88932806324110658</v>
      </c>
    </row>
    <row r="99" spans="1:17" ht="15.75" x14ac:dyDescent="0.25">
      <c r="A99" s="80" t="s">
        <v>177</v>
      </c>
      <c r="B99" s="81" t="s">
        <v>178</v>
      </c>
      <c r="C99" s="24">
        <v>2.5</v>
      </c>
      <c r="D99" s="24">
        <v>0.7</v>
      </c>
      <c r="E99" s="46">
        <v>0.1</v>
      </c>
      <c r="F99" s="24">
        <v>0.5</v>
      </c>
      <c r="G99" s="47">
        <v>0.5</v>
      </c>
      <c r="H99" s="24">
        <v>0.6</v>
      </c>
      <c r="I99" s="46">
        <v>1.2</v>
      </c>
      <c r="J99" s="24">
        <v>0.7</v>
      </c>
      <c r="K99" s="66">
        <v>1</v>
      </c>
      <c r="L99" s="48">
        <f>D99+F99+H99+J99</f>
        <v>2.5</v>
      </c>
      <c r="M99" s="48">
        <f>E99+G99+I99+K99</f>
        <v>2.8</v>
      </c>
      <c r="N99" s="16">
        <f>M99-L99</f>
        <v>0.29999999999999982</v>
      </c>
      <c r="O99" s="49">
        <f>M99/L99</f>
        <v>1.1199999999999999</v>
      </c>
      <c r="P99" s="16">
        <f t="shared" si="16"/>
        <v>0.29999999999999982</v>
      </c>
      <c r="Q99" s="49">
        <f t="shared" si="17"/>
        <v>1.1199999999999999</v>
      </c>
    </row>
    <row r="100" spans="1:17" ht="15.75" x14ac:dyDescent="0.25">
      <c r="A100" s="80" t="s">
        <v>179</v>
      </c>
      <c r="B100" s="81" t="s">
        <v>123</v>
      </c>
      <c r="C100" s="24">
        <v>2.9</v>
      </c>
      <c r="D100" s="24">
        <v>0.7</v>
      </c>
      <c r="E100" s="46">
        <v>0.4</v>
      </c>
      <c r="F100" s="24">
        <v>0.8</v>
      </c>
      <c r="G100" s="66">
        <v>0.8</v>
      </c>
      <c r="H100" s="24">
        <v>0.7</v>
      </c>
      <c r="I100" s="67">
        <v>0.7</v>
      </c>
      <c r="J100" s="24">
        <v>0.7</v>
      </c>
      <c r="K100" s="47">
        <v>1.3</v>
      </c>
      <c r="L100" s="48">
        <f t="shared" ref="L100:M111" si="33">D100+F100+H100+J100</f>
        <v>2.9000000000000004</v>
      </c>
      <c r="M100" s="48">
        <f t="shared" si="33"/>
        <v>3.2</v>
      </c>
      <c r="N100" s="16">
        <f t="shared" ref="N100:N110" si="34">M100-L100</f>
        <v>0.29999999999999982</v>
      </c>
      <c r="O100" s="49">
        <f t="shared" ref="O100:O110" si="35">M100/L100</f>
        <v>1.103448275862069</v>
      </c>
      <c r="P100" s="16">
        <f t="shared" si="16"/>
        <v>0.30000000000000027</v>
      </c>
      <c r="Q100" s="49">
        <f t="shared" si="17"/>
        <v>1.103448275862069</v>
      </c>
    </row>
    <row r="101" spans="1:17" ht="15.75" x14ac:dyDescent="0.25">
      <c r="A101" s="80" t="s">
        <v>180</v>
      </c>
      <c r="B101" s="81" t="s">
        <v>181</v>
      </c>
      <c r="C101" s="24">
        <v>5.3</v>
      </c>
      <c r="D101" s="24">
        <v>0.5</v>
      </c>
      <c r="E101" s="67">
        <v>0.7</v>
      </c>
      <c r="F101" s="24">
        <v>0.2</v>
      </c>
      <c r="G101" s="47">
        <v>0.1</v>
      </c>
      <c r="H101" s="24">
        <v>0.6</v>
      </c>
      <c r="I101" s="67">
        <v>1</v>
      </c>
      <c r="J101" s="24">
        <v>0.9</v>
      </c>
      <c r="K101" s="47">
        <v>0.4</v>
      </c>
      <c r="L101" s="48">
        <f t="shared" si="33"/>
        <v>2.1999999999999997</v>
      </c>
      <c r="M101" s="48">
        <f t="shared" si="33"/>
        <v>2.1999999999999997</v>
      </c>
      <c r="N101" s="16">
        <f t="shared" si="34"/>
        <v>0</v>
      </c>
      <c r="O101" s="49">
        <f t="shared" si="35"/>
        <v>1</v>
      </c>
      <c r="P101" s="16">
        <f t="shared" si="16"/>
        <v>-3.1</v>
      </c>
      <c r="Q101" s="49">
        <f t="shared" si="17"/>
        <v>0.41509433962264147</v>
      </c>
    </row>
    <row r="102" spans="1:17" ht="15.75" x14ac:dyDescent="0.25">
      <c r="A102" s="80" t="s">
        <v>182</v>
      </c>
      <c r="B102" s="81" t="s">
        <v>183</v>
      </c>
      <c r="C102" s="24">
        <v>2</v>
      </c>
      <c r="D102" s="24">
        <v>0.7</v>
      </c>
      <c r="E102" s="51"/>
      <c r="F102" s="24">
        <v>0.7</v>
      </c>
      <c r="G102" s="47"/>
      <c r="H102" s="24">
        <v>0.7</v>
      </c>
      <c r="I102" s="46">
        <v>0.8</v>
      </c>
      <c r="J102" s="24">
        <v>0.7</v>
      </c>
      <c r="K102" s="47">
        <v>1.3</v>
      </c>
      <c r="L102" s="48">
        <f t="shared" si="33"/>
        <v>2.8</v>
      </c>
      <c r="M102" s="68">
        <f t="shared" si="33"/>
        <v>2.1</v>
      </c>
      <c r="N102" s="16">
        <f t="shared" si="34"/>
        <v>-0.69999999999999973</v>
      </c>
      <c r="O102" s="49">
        <f t="shared" si="35"/>
        <v>0.75000000000000011</v>
      </c>
      <c r="P102" s="16">
        <f t="shared" si="16"/>
        <v>0.10000000000000009</v>
      </c>
      <c r="Q102" s="49"/>
    </row>
    <row r="103" spans="1:17" ht="15.75" x14ac:dyDescent="0.25">
      <c r="A103" s="80" t="s">
        <v>184</v>
      </c>
      <c r="B103" s="81" t="s">
        <v>185</v>
      </c>
      <c r="C103" s="24">
        <v>2.1</v>
      </c>
      <c r="D103" s="24">
        <v>0.4</v>
      </c>
      <c r="E103" s="46">
        <v>0.4</v>
      </c>
      <c r="F103" s="24">
        <v>0.5</v>
      </c>
      <c r="G103" s="47">
        <v>0.5</v>
      </c>
      <c r="H103" s="24">
        <v>0.4</v>
      </c>
      <c r="I103" s="46">
        <v>0.4</v>
      </c>
      <c r="J103" s="24">
        <v>0.5</v>
      </c>
      <c r="K103" s="47">
        <v>0.5</v>
      </c>
      <c r="L103" s="48">
        <f t="shared" si="33"/>
        <v>1.8</v>
      </c>
      <c r="M103" s="48">
        <f t="shared" si="33"/>
        <v>1.8</v>
      </c>
      <c r="N103" s="16">
        <f t="shared" si="34"/>
        <v>0</v>
      </c>
      <c r="O103" s="49">
        <f t="shared" si="35"/>
        <v>1</v>
      </c>
      <c r="P103" s="16">
        <f t="shared" si="16"/>
        <v>-0.30000000000000004</v>
      </c>
      <c r="Q103" s="49">
        <f t="shared" si="17"/>
        <v>0.8571428571428571</v>
      </c>
    </row>
    <row r="104" spans="1:17" ht="15.75" x14ac:dyDescent="0.25">
      <c r="A104" s="80" t="s">
        <v>186</v>
      </c>
      <c r="B104" s="81" t="s">
        <v>187</v>
      </c>
      <c r="C104" s="65">
        <v>3.7</v>
      </c>
      <c r="D104" s="24">
        <v>2.7</v>
      </c>
      <c r="E104" s="46">
        <v>1.2</v>
      </c>
      <c r="F104" s="24"/>
      <c r="G104" s="66"/>
      <c r="H104" s="24">
        <v>2.2000000000000002</v>
      </c>
      <c r="I104" s="67">
        <v>1.1000000000000001</v>
      </c>
      <c r="J104" s="24"/>
      <c r="K104" s="47">
        <v>2.4</v>
      </c>
      <c r="L104" s="48">
        <f t="shared" si="33"/>
        <v>4.9000000000000004</v>
      </c>
      <c r="M104" s="68">
        <f t="shared" si="33"/>
        <v>4.6999999999999993</v>
      </c>
      <c r="N104" s="16">
        <f t="shared" si="34"/>
        <v>-0.20000000000000107</v>
      </c>
      <c r="O104" s="49">
        <f t="shared" si="35"/>
        <v>0.95918367346938749</v>
      </c>
      <c r="P104" s="16">
        <f t="shared" si="16"/>
        <v>0.99999999999999911</v>
      </c>
      <c r="Q104" s="49">
        <f t="shared" si="17"/>
        <v>1.27027027027027</v>
      </c>
    </row>
    <row r="105" spans="1:17" ht="15.75" x14ac:dyDescent="0.25">
      <c r="A105" s="80" t="s">
        <v>188</v>
      </c>
      <c r="B105" s="81" t="s">
        <v>189</v>
      </c>
      <c r="C105" s="65">
        <v>8.1999999999999993</v>
      </c>
      <c r="D105" s="24">
        <v>1.2</v>
      </c>
      <c r="E105" s="46">
        <v>1.3</v>
      </c>
      <c r="F105" s="65">
        <v>1.8</v>
      </c>
      <c r="G105" s="66">
        <v>3</v>
      </c>
      <c r="H105" s="24">
        <v>1.8</v>
      </c>
      <c r="I105" s="46">
        <v>1.8</v>
      </c>
      <c r="J105" s="24">
        <v>1.6</v>
      </c>
      <c r="K105" s="47">
        <v>2.2999999999999998</v>
      </c>
      <c r="L105" s="48">
        <f t="shared" si="33"/>
        <v>6.4</v>
      </c>
      <c r="M105" s="68">
        <f t="shared" si="33"/>
        <v>8.3999999999999986</v>
      </c>
      <c r="N105" s="16">
        <f t="shared" si="34"/>
        <v>1.9999999999999982</v>
      </c>
      <c r="O105" s="49">
        <f t="shared" si="35"/>
        <v>1.3124999999999998</v>
      </c>
      <c r="P105" s="16">
        <f t="shared" si="16"/>
        <v>0.19999999999999929</v>
      </c>
      <c r="Q105" s="49">
        <f t="shared" si="17"/>
        <v>1.024390243902439</v>
      </c>
    </row>
    <row r="106" spans="1:17" ht="15.75" x14ac:dyDescent="0.25">
      <c r="A106" s="80" t="s">
        <v>190</v>
      </c>
      <c r="B106" s="81" t="s">
        <v>191</v>
      </c>
      <c r="C106" s="24">
        <v>30.5</v>
      </c>
      <c r="D106" s="65">
        <v>9.9</v>
      </c>
      <c r="E106" s="67">
        <v>9.9</v>
      </c>
      <c r="F106" s="24">
        <v>5.8</v>
      </c>
      <c r="G106" s="66">
        <v>7</v>
      </c>
      <c r="H106" s="24">
        <f>ROUND((176.9+173.5+180)*8.5/1000,1)</f>
        <v>4.5</v>
      </c>
      <c r="I106" s="46">
        <v>4.8</v>
      </c>
      <c r="J106" s="24">
        <f>ROUND((321.9+383.8+376.6)*8.5/1000,1)</f>
        <v>9.1999999999999993</v>
      </c>
      <c r="K106" s="47">
        <v>9.6</v>
      </c>
      <c r="L106" s="48">
        <f t="shared" si="33"/>
        <v>29.4</v>
      </c>
      <c r="M106" s="48">
        <f t="shared" si="33"/>
        <v>31.299999999999997</v>
      </c>
      <c r="N106" s="16">
        <f t="shared" si="34"/>
        <v>1.8999999999999986</v>
      </c>
      <c r="O106" s="49">
        <f t="shared" si="35"/>
        <v>1.064625850340136</v>
      </c>
      <c r="P106" s="16">
        <f t="shared" ref="P106:P151" si="36">M106-C106</f>
        <v>0.79999999999999716</v>
      </c>
      <c r="Q106" s="49">
        <f t="shared" ref="Q106:Q147" si="37">M106/C106</f>
        <v>1.0262295081967212</v>
      </c>
    </row>
    <row r="107" spans="1:17" ht="15.75" x14ac:dyDescent="0.25">
      <c r="A107" s="80" t="s">
        <v>192</v>
      </c>
      <c r="B107" s="81" t="s">
        <v>193</v>
      </c>
      <c r="C107" s="24">
        <v>14.700000000000001</v>
      </c>
      <c r="D107" s="24">
        <v>5.2</v>
      </c>
      <c r="E107" s="46">
        <v>5.0999999999999996</v>
      </c>
      <c r="F107" s="24">
        <v>2.8</v>
      </c>
      <c r="G107" s="47">
        <v>3.3</v>
      </c>
      <c r="H107" s="65">
        <f>ROUND((76.9+73.8+74.9)*8.5/1000,1)</f>
        <v>1.9</v>
      </c>
      <c r="I107" s="46">
        <v>1.9</v>
      </c>
      <c r="J107" s="24">
        <v>4.4000000000000004</v>
      </c>
      <c r="K107" s="47">
        <v>4.9000000000000004</v>
      </c>
      <c r="L107" s="48">
        <f t="shared" si="33"/>
        <v>14.3</v>
      </c>
      <c r="M107" s="48">
        <f t="shared" si="33"/>
        <v>15.2</v>
      </c>
      <c r="N107" s="16">
        <f t="shared" si="34"/>
        <v>0.89999999999999858</v>
      </c>
      <c r="O107" s="49">
        <f t="shared" si="35"/>
        <v>1.0629370629370629</v>
      </c>
      <c r="P107" s="16">
        <f t="shared" si="36"/>
        <v>0.49999999999999822</v>
      </c>
      <c r="Q107" s="49">
        <f t="shared" si="37"/>
        <v>1.0340136054421767</v>
      </c>
    </row>
    <row r="108" spans="1:17" ht="15.75" customHeight="1" x14ac:dyDescent="0.25">
      <c r="A108" s="80" t="s">
        <v>194</v>
      </c>
      <c r="B108" s="81" t="s">
        <v>195</v>
      </c>
      <c r="C108" s="24">
        <v>28.5</v>
      </c>
      <c r="D108" s="24">
        <v>6.8</v>
      </c>
      <c r="E108" s="46">
        <v>7.4</v>
      </c>
      <c r="F108" s="24">
        <v>7.4</v>
      </c>
      <c r="G108" s="47">
        <v>7.5</v>
      </c>
      <c r="H108" s="65">
        <v>6.7</v>
      </c>
      <c r="I108" s="46">
        <v>2.6</v>
      </c>
      <c r="J108" s="65">
        <f>ROUND((433.3+428.1+416.3)*5.8/1000,1)</f>
        <v>7.4</v>
      </c>
      <c r="K108" s="66">
        <v>0</v>
      </c>
      <c r="L108" s="48">
        <f t="shared" si="33"/>
        <v>28.299999999999997</v>
      </c>
      <c r="M108" s="48">
        <f t="shared" si="33"/>
        <v>17.5</v>
      </c>
      <c r="N108" s="16">
        <f t="shared" si="34"/>
        <v>-10.799999999999997</v>
      </c>
      <c r="O108" s="49">
        <f t="shared" si="35"/>
        <v>0.61837455830388699</v>
      </c>
      <c r="P108" s="16">
        <f t="shared" si="36"/>
        <v>-11</v>
      </c>
      <c r="Q108" s="49">
        <f t="shared" si="37"/>
        <v>0.61403508771929827</v>
      </c>
    </row>
    <row r="109" spans="1:17" ht="15.75" x14ac:dyDescent="0.25">
      <c r="A109" s="80" t="s">
        <v>196</v>
      </c>
      <c r="B109" s="81" t="s">
        <v>197</v>
      </c>
      <c r="C109" s="24">
        <v>0.4</v>
      </c>
      <c r="D109" s="24">
        <v>0.1</v>
      </c>
      <c r="E109" s="46">
        <v>0.1</v>
      </c>
      <c r="F109" s="24">
        <v>0.1</v>
      </c>
      <c r="G109" s="47">
        <v>0.1</v>
      </c>
      <c r="H109" s="24">
        <v>0.1</v>
      </c>
      <c r="I109" s="46">
        <v>0.1</v>
      </c>
      <c r="J109" s="24">
        <v>0.1</v>
      </c>
      <c r="K109" s="47">
        <v>0.1</v>
      </c>
      <c r="L109" s="48">
        <f t="shared" si="33"/>
        <v>0.4</v>
      </c>
      <c r="M109" s="48">
        <f t="shared" si="33"/>
        <v>0.4</v>
      </c>
      <c r="N109" s="16">
        <f t="shared" si="34"/>
        <v>0</v>
      </c>
      <c r="O109" s="49">
        <f t="shared" si="35"/>
        <v>1</v>
      </c>
      <c r="P109" s="16">
        <f t="shared" si="36"/>
        <v>0</v>
      </c>
      <c r="Q109" s="49">
        <f t="shared" si="37"/>
        <v>1</v>
      </c>
    </row>
    <row r="110" spans="1:17" ht="15.75" x14ac:dyDescent="0.25">
      <c r="A110" s="80" t="s">
        <v>198</v>
      </c>
      <c r="B110" s="81" t="s">
        <v>199</v>
      </c>
      <c r="C110" s="24">
        <v>0.4</v>
      </c>
      <c r="D110" s="24">
        <v>0.2</v>
      </c>
      <c r="E110" s="46">
        <v>0.1</v>
      </c>
      <c r="F110" s="24">
        <v>0.1</v>
      </c>
      <c r="G110" s="47">
        <v>0.1</v>
      </c>
      <c r="H110" s="24">
        <v>0.1</v>
      </c>
      <c r="I110" s="46">
        <v>0.1</v>
      </c>
      <c r="J110" s="24">
        <v>0.1</v>
      </c>
      <c r="K110" s="47">
        <v>0.1</v>
      </c>
      <c r="L110" s="48">
        <f t="shared" si="33"/>
        <v>0.5</v>
      </c>
      <c r="M110" s="48">
        <f t="shared" si="33"/>
        <v>0.4</v>
      </c>
      <c r="N110" s="16">
        <f t="shared" si="34"/>
        <v>-9.9999999999999978E-2</v>
      </c>
      <c r="O110" s="49">
        <f t="shared" si="35"/>
        <v>0.8</v>
      </c>
      <c r="P110" s="16">
        <f t="shared" si="36"/>
        <v>0</v>
      </c>
      <c r="Q110" s="49">
        <f t="shared" si="37"/>
        <v>1</v>
      </c>
    </row>
    <row r="111" spans="1:17" ht="15.75" x14ac:dyDescent="0.25">
      <c r="A111" s="80" t="s">
        <v>200</v>
      </c>
      <c r="B111" s="81" t="s">
        <v>201</v>
      </c>
      <c r="C111" s="24">
        <v>0</v>
      </c>
      <c r="D111" s="65"/>
      <c r="E111" s="99"/>
      <c r="F111" s="65"/>
      <c r="G111" s="66"/>
      <c r="H111" s="65"/>
      <c r="I111" s="100"/>
      <c r="J111" s="65"/>
      <c r="K111" s="66"/>
      <c r="L111" s="48">
        <f t="shared" si="33"/>
        <v>0</v>
      </c>
      <c r="M111" s="48">
        <f t="shared" si="33"/>
        <v>0</v>
      </c>
      <c r="N111" s="16"/>
      <c r="O111" s="49"/>
      <c r="P111" s="78"/>
      <c r="Q111" s="79"/>
    </row>
    <row r="112" spans="1:17" ht="15.75" x14ac:dyDescent="0.25">
      <c r="A112" s="101" t="s">
        <v>202</v>
      </c>
      <c r="B112" s="83" t="s">
        <v>203</v>
      </c>
      <c r="C112" s="75">
        <f t="shared" ref="C112:M112" si="38">SUM(C113:C119)</f>
        <v>204.2</v>
      </c>
      <c r="D112" s="75">
        <f t="shared" si="38"/>
        <v>75.099999999999994</v>
      </c>
      <c r="E112" s="72">
        <f t="shared" si="38"/>
        <v>56.599999999999994</v>
      </c>
      <c r="F112" s="75">
        <f t="shared" si="38"/>
        <v>41.2</v>
      </c>
      <c r="G112" s="84">
        <f t="shared" si="38"/>
        <v>43.8</v>
      </c>
      <c r="H112" s="75">
        <f t="shared" si="38"/>
        <v>29.599999999999998</v>
      </c>
      <c r="I112" s="72">
        <f t="shared" si="38"/>
        <v>25.3</v>
      </c>
      <c r="J112" s="75">
        <f t="shared" si="38"/>
        <v>58.7</v>
      </c>
      <c r="K112" s="84">
        <f t="shared" si="38"/>
        <v>39.6</v>
      </c>
      <c r="L112" s="76">
        <f t="shared" si="38"/>
        <v>204.60000000000002</v>
      </c>
      <c r="M112" s="76">
        <f t="shared" si="38"/>
        <v>165.3</v>
      </c>
      <c r="N112" s="78">
        <f>M112-L112</f>
        <v>-39.300000000000011</v>
      </c>
      <c r="O112" s="79">
        <f>M112/L112</f>
        <v>0.8079178885630498</v>
      </c>
      <c r="P112" s="16">
        <f t="shared" si="36"/>
        <v>-38.899999999999977</v>
      </c>
      <c r="Q112" s="49">
        <f t="shared" si="37"/>
        <v>0.80950048971596489</v>
      </c>
    </row>
    <row r="113" spans="1:17" ht="15.75" x14ac:dyDescent="0.25">
      <c r="A113" s="80" t="s">
        <v>204</v>
      </c>
      <c r="B113" s="81" t="s">
        <v>205</v>
      </c>
      <c r="C113" s="24">
        <v>0.7</v>
      </c>
      <c r="D113" s="24">
        <v>0.2</v>
      </c>
      <c r="E113" s="46">
        <v>0.2</v>
      </c>
      <c r="F113" s="24">
        <v>0.1</v>
      </c>
      <c r="G113" s="47">
        <v>0.1</v>
      </c>
      <c r="H113" s="24">
        <v>0.2</v>
      </c>
      <c r="I113" s="46">
        <v>0.2</v>
      </c>
      <c r="J113" s="24">
        <v>0.2</v>
      </c>
      <c r="K113" s="47">
        <v>0.2</v>
      </c>
      <c r="L113" s="48">
        <f>D113+F113+H113+J113</f>
        <v>0.7</v>
      </c>
      <c r="M113" s="48">
        <f>E113+G113+I113+K113</f>
        <v>0.7</v>
      </c>
      <c r="N113" s="16">
        <f t="shared" ref="N113:N119" si="39">M113-L113</f>
        <v>0</v>
      </c>
      <c r="O113" s="49">
        <f t="shared" ref="O113:O118" si="40">M113/L113</f>
        <v>1</v>
      </c>
      <c r="P113" s="16">
        <f t="shared" si="36"/>
        <v>0</v>
      </c>
      <c r="Q113" s="49">
        <f t="shared" si="37"/>
        <v>1</v>
      </c>
    </row>
    <row r="114" spans="1:17" ht="15.75" x14ac:dyDescent="0.25">
      <c r="A114" s="80" t="s">
        <v>206</v>
      </c>
      <c r="B114" s="81" t="s">
        <v>125</v>
      </c>
      <c r="C114" s="24"/>
      <c r="D114" s="24"/>
      <c r="E114" s="51"/>
      <c r="F114" s="24"/>
      <c r="G114" s="47"/>
      <c r="H114" s="24"/>
      <c r="I114" s="52"/>
      <c r="J114" s="24"/>
      <c r="K114" s="47"/>
      <c r="L114" s="48"/>
      <c r="M114" s="53"/>
      <c r="N114" s="16"/>
      <c r="O114" s="49"/>
      <c r="P114" s="16"/>
      <c r="Q114" s="49"/>
    </row>
    <row r="115" spans="1:17" ht="15.75" x14ac:dyDescent="0.25">
      <c r="A115" s="80" t="s">
        <v>207</v>
      </c>
      <c r="B115" s="81" t="s">
        <v>208</v>
      </c>
      <c r="C115" s="24"/>
      <c r="D115" s="24"/>
      <c r="E115" s="51"/>
      <c r="F115" s="24"/>
      <c r="G115" s="47"/>
      <c r="H115" s="24"/>
      <c r="I115" s="52"/>
      <c r="J115" s="24"/>
      <c r="K115" s="47"/>
      <c r="L115" s="48"/>
      <c r="M115" s="53"/>
      <c r="N115" s="16"/>
      <c r="O115" s="49"/>
      <c r="P115" s="16"/>
      <c r="Q115" s="49"/>
    </row>
    <row r="116" spans="1:17" ht="15.75" x14ac:dyDescent="0.25">
      <c r="A116" s="80" t="s">
        <v>209</v>
      </c>
      <c r="B116" s="81" t="s">
        <v>210</v>
      </c>
      <c r="C116" s="24"/>
      <c r="D116" s="24"/>
      <c r="E116" s="51"/>
      <c r="F116" s="24"/>
      <c r="G116" s="47"/>
      <c r="H116" s="24"/>
      <c r="I116" s="52"/>
      <c r="J116" s="24"/>
      <c r="K116" s="47"/>
      <c r="L116" s="48"/>
      <c r="M116" s="53"/>
      <c r="N116" s="16"/>
      <c r="O116" s="49"/>
      <c r="P116" s="16"/>
      <c r="Q116" s="49"/>
    </row>
    <row r="117" spans="1:17" ht="15.75" x14ac:dyDescent="0.25">
      <c r="A117" s="80" t="s">
        <v>211</v>
      </c>
      <c r="B117" s="81" t="s">
        <v>212</v>
      </c>
      <c r="C117" s="65">
        <v>52.199999999999996</v>
      </c>
      <c r="D117" s="24">
        <v>26.6</v>
      </c>
      <c r="E117" s="67">
        <v>23</v>
      </c>
      <c r="F117" s="24">
        <v>5.9</v>
      </c>
      <c r="G117" s="47">
        <v>6.2</v>
      </c>
      <c r="H117" s="24"/>
      <c r="I117" s="52"/>
      <c r="J117" s="24">
        <v>10.8</v>
      </c>
      <c r="K117" s="47">
        <v>0</v>
      </c>
      <c r="L117" s="48">
        <f t="shared" ref="L117:M119" si="41">D117+F117+H117+J117</f>
        <v>43.3</v>
      </c>
      <c r="M117" s="68">
        <f t="shared" si="41"/>
        <v>29.2</v>
      </c>
      <c r="N117" s="16">
        <f t="shared" si="39"/>
        <v>-14.099999999999998</v>
      </c>
      <c r="O117" s="49">
        <f t="shared" si="40"/>
        <v>0.67436489607390304</v>
      </c>
      <c r="P117" s="16">
        <f t="shared" si="36"/>
        <v>-22.999999999999996</v>
      </c>
      <c r="Q117" s="49">
        <f t="shared" si="37"/>
        <v>0.55938697318007669</v>
      </c>
    </row>
    <row r="118" spans="1:17" ht="15.75" x14ac:dyDescent="0.25">
      <c r="A118" s="80" t="s">
        <v>213</v>
      </c>
      <c r="B118" s="81" t="s">
        <v>214</v>
      </c>
      <c r="C118" s="24">
        <v>151.29999999999998</v>
      </c>
      <c r="D118" s="24">
        <v>48.3</v>
      </c>
      <c r="E118" s="46">
        <v>33.4</v>
      </c>
      <c r="F118" s="65">
        <v>35.200000000000003</v>
      </c>
      <c r="G118" s="66">
        <v>37.5</v>
      </c>
      <c r="H118" s="65">
        <v>29.4</v>
      </c>
      <c r="I118" s="67">
        <v>25.1</v>
      </c>
      <c r="J118" s="24">
        <v>47.7</v>
      </c>
      <c r="K118" s="47">
        <v>39.4</v>
      </c>
      <c r="L118" s="48">
        <f t="shared" si="41"/>
        <v>160.60000000000002</v>
      </c>
      <c r="M118" s="68">
        <f t="shared" si="41"/>
        <v>135.4</v>
      </c>
      <c r="N118" s="16">
        <f t="shared" si="39"/>
        <v>-25.200000000000017</v>
      </c>
      <c r="O118" s="49">
        <f t="shared" si="40"/>
        <v>0.84308841843088411</v>
      </c>
      <c r="P118" s="16">
        <f t="shared" si="36"/>
        <v>-15.899999999999977</v>
      </c>
      <c r="Q118" s="49">
        <f t="shared" si="37"/>
        <v>0.89491077329808344</v>
      </c>
    </row>
    <row r="119" spans="1:17" ht="15.75" x14ac:dyDescent="0.25">
      <c r="A119" s="80" t="s">
        <v>215</v>
      </c>
      <c r="B119" s="81" t="s">
        <v>216</v>
      </c>
      <c r="C119" s="24">
        <v>0</v>
      </c>
      <c r="D119" s="24"/>
      <c r="E119" s="51"/>
      <c r="F119" s="24"/>
      <c r="G119" s="47"/>
      <c r="H119" s="24"/>
      <c r="I119" s="52"/>
      <c r="J119" s="24"/>
      <c r="K119" s="47"/>
      <c r="L119" s="48">
        <f t="shared" si="41"/>
        <v>0</v>
      </c>
      <c r="M119" s="48">
        <f t="shared" si="41"/>
        <v>0</v>
      </c>
      <c r="N119" s="16">
        <f t="shared" si="39"/>
        <v>0</v>
      </c>
      <c r="O119" s="49"/>
      <c r="P119" s="16"/>
      <c r="Q119" s="49"/>
    </row>
    <row r="120" spans="1:17" ht="15.75" x14ac:dyDescent="0.25">
      <c r="A120" s="35" t="s">
        <v>217</v>
      </c>
      <c r="B120" s="18" t="s">
        <v>218</v>
      </c>
      <c r="C120" s="75">
        <f t="shared" ref="C120:M120" si="42">SUM(C121:C126)</f>
        <v>323.5</v>
      </c>
      <c r="D120" s="75">
        <f t="shared" si="42"/>
        <v>41.7</v>
      </c>
      <c r="E120" s="72">
        <f t="shared" si="42"/>
        <v>40.700000000000003</v>
      </c>
      <c r="F120" s="75">
        <f t="shared" si="42"/>
        <v>21.200000000000003</v>
      </c>
      <c r="G120" s="84">
        <f t="shared" si="42"/>
        <v>23.5</v>
      </c>
      <c r="H120" s="75">
        <f t="shared" si="42"/>
        <v>16.600000000000001</v>
      </c>
      <c r="I120" s="72">
        <f t="shared" si="42"/>
        <v>13.7</v>
      </c>
      <c r="J120" s="75">
        <f t="shared" si="42"/>
        <v>62.300000000000004</v>
      </c>
      <c r="K120" s="84">
        <f t="shared" si="42"/>
        <v>253.00000000000003</v>
      </c>
      <c r="L120" s="76">
        <f t="shared" si="42"/>
        <v>141.80000000000001</v>
      </c>
      <c r="M120" s="76">
        <f t="shared" si="42"/>
        <v>330.90000000000003</v>
      </c>
      <c r="N120" s="78">
        <f>M120-L120</f>
        <v>189.10000000000002</v>
      </c>
      <c r="O120" s="79">
        <f>M120/L120</f>
        <v>2.3335684062059241</v>
      </c>
      <c r="P120" s="16">
        <f t="shared" si="36"/>
        <v>7.4000000000000341</v>
      </c>
      <c r="Q120" s="49">
        <f t="shared" si="37"/>
        <v>1.0228748068006184</v>
      </c>
    </row>
    <row r="121" spans="1:17" ht="15.75" x14ac:dyDescent="0.25">
      <c r="A121" s="80" t="s">
        <v>219</v>
      </c>
      <c r="B121" s="102" t="s">
        <v>220</v>
      </c>
      <c r="C121" s="24">
        <v>0</v>
      </c>
      <c r="D121" s="24"/>
      <c r="E121" s="51"/>
      <c r="F121" s="24"/>
      <c r="G121" s="47"/>
      <c r="H121" s="24"/>
      <c r="I121" s="46"/>
      <c r="J121" s="24"/>
      <c r="K121" s="47"/>
      <c r="L121" s="48"/>
      <c r="M121" s="48">
        <f>E121+G121+I121+K121</f>
        <v>0</v>
      </c>
      <c r="N121" s="78"/>
      <c r="O121" s="79"/>
      <c r="P121" s="16"/>
      <c r="Q121" s="49"/>
    </row>
    <row r="122" spans="1:17" ht="15.75" x14ac:dyDescent="0.25">
      <c r="A122" s="80" t="s">
        <v>221</v>
      </c>
      <c r="B122" s="102" t="s">
        <v>222</v>
      </c>
      <c r="C122" s="24">
        <v>23.5</v>
      </c>
      <c r="D122" s="24">
        <v>6.7</v>
      </c>
      <c r="E122" s="46">
        <v>5.8</v>
      </c>
      <c r="F122" s="24">
        <v>6.7</v>
      </c>
      <c r="G122" s="47">
        <v>5.8</v>
      </c>
      <c r="H122" s="24">
        <v>6.7</v>
      </c>
      <c r="I122" s="46">
        <v>5.8</v>
      </c>
      <c r="J122" s="24">
        <v>6.7</v>
      </c>
      <c r="K122" s="47">
        <v>5.2</v>
      </c>
      <c r="L122" s="48">
        <f>D122+F122+H122+J122</f>
        <v>26.8</v>
      </c>
      <c r="M122" s="68">
        <f>E122+G122+I122+K122</f>
        <v>22.599999999999998</v>
      </c>
      <c r="N122" s="16">
        <f>M122-L122</f>
        <v>-4.2000000000000028</v>
      </c>
      <c r="O122" s="49">
        <f>M122/L122</f>
        <v>0.84328358208955212</v>
      </c>
      <c r="P122" s="16">
        <f t="shared" si="36"/>
        <v>-0.90000000000000213</v>
      </c>
      <c r="Q122" s="49">
        <f t="shared" si="37"/>
        <v>0.96170212765957441</v>
      </c>
    </row>
    <row r="123" spans="1:17" ht="15.75" x14ac:dyDescent="0.25">
      <c r="A123" s="80" t="s">
        <v>223</v>
      </c>
      <c r="B123" s="102" t="s">
        <v>224</v>
      </c>
      <c r="C123" s="24"/>
      <c r="D123" s="24"/>
      <c r="E123" s="51"/>
      <c r="F123" s="24"/>
      <c r="G123" s="47"/>
      <c r="H123" s="24"/>
      <c r="I123" s="52"/>
      <c r="J123" s="24"/>
      <c r="K123" s="47"/>
      <c r="L123" s="48"/>
      <c r="M123" s="53"/>
      <c r="N123" s="16"/>
      <c r="O123" s="49"/>
      <c r="P123" s="16"/>
      <c r="Q123" s="49"/>
    </row>
    <row r="124" spans="1:17" ht="15.75" x14ac:dyDescent="0.25">
      <c r="A124" s="80" t="s">
        <v>225</v>
      </c>
      <c r="B124" s="96" t="s">
        <v>226</v>
      </c>
      <c r="C124" s="24">
        <v>53.900000000000006</v>
      </c>
      <c r="D124" s="24">
        <v>23</v>
      </c>
      <c r="E124" s="46">
        <v>23</v>
      </c>
      <c r="F124" s="24">
        <v>9.9</v>
      </c>
      <c r="G124" s="47">
        <v>11.4</v>
      </c>
      <c r="H124" s="24">
        <v>7.2</v>
      </c>
      <c r="I124" s="46">
        <v>5.9</v>
      </c>
      <c r="J124" s="24">
        <v>26.3</v>
      </c>
      <c r="K124" s="47">
        <v>23.1</v>
      </c>
      <c r="L124" s="48">
        <f t="shared" ref="L124:M127" si="43">D124+F124+H124+J124</f>
        <v>66.400000000000006</v>
      </c>
      <c r="M124" s="48">
        <f t="shared" si="43"/>
        <v>63.4</v>
      </c>
      <c r="N124" s="16">
        <f t="shared" ref="N124:N129" si="44">M124-L124</f>
        <v>-3.0000000000000071</v>
      </c>
      <c r="O124" s="49">
        <f t="shared" ref="O124:O129" si="45">M124/L124</f>
        <v>0.95481927710843362</v>
      </c>
      <c r="P124" s="16">
        <f t="shared" si="36"/>
        <v>9.4999999999999929</v>
      </c>
      <c r="Q124" s="49">
        <f t="shared" si="37"/>
        <v>1.1762523191094618</v>
      </c>
    </row>
    <row r="125" spans="1:17" ht="15.75" x14ac:dyDescent="0.25">
      <c r="A125" s="80" t="s">
        <v>227</v>
      </c>
      <c r="B125" s="103" t="s">
        <v>228</v>
      </c>
      <c r="C125" s="24">
        <v>246.1</v>
      </c>
      <c r="D125" s="24"/>
      <c r="E125" s="51"/>
      <c r="F125" s="24"/>
      <c r="G125" s="47"/>
      <c r="H125" s="24"/>
      <c r="I125" s="52"/>
      <c r="J125" s="24">
        <v>24.1</v>
      </c>
      <c r="K125" s="47">
        <v>221.8</v>
      </c>
      <c r="L125" s="48">
        <f t="shared" si="43"/>
        <v>24.1</v>
      </c>
      <c r="M125" s="48">
        <f t="shared" si="43"/>
        <v>221.8</v>
      </c>
      <c r="N125" s="16">
        <f t="shared" si="44"/>
        <v>197.70000000000002</v>
      </c>
      <c r="O125" s="49">
        <f t="shared" si="45"/>
        <v>9.2033195020746881</v>
      </c>
      <c r="P125" s="16">
        <f t="shared" si="36"/>
        <v>-24.299999999999983</v>
      </c>
      <c r="Q125" s="49">
        <f t="shared" si="37"/>
        <v>0.90125965054855761</v>
      </c>
    </row>
    <row r="126" spans="1:17" ht="15.75" x14ac:dyDescent="0.25">
      <c r="A126" s="80" t="s">
        <v>229</v>
      </c>
      <c r="B126" s="104" t="s">
        <v>230</v>
      </c>
      <c r="C126" s="24"/>
      <c r="D126" s="24">
        <v>12</v>
      </c>
      <c r="E126" s="46">
        <v>11.9</v>
      </c>
      <c r="F126" s="24">
        <v>4.5999999999999996</v>
      </c>
      <c r="G126" s="47">
        <v>6.3</v>
      </c>
      <c r="H126" s="24">
        <v>2.7</v>
      </c>
      <c r="I126" s="67">
        <v>2</v>
      </c>
      <c r="J126" s="24">
        <v>5.2</v>
      </c>
      <c r="K126" s="47">
        <v>2.9</v>
      </c>
      <c r="L126" s="48">
        <f t="shared" si="43"/>
        <v>24.5</v>
      </c>
      <c r="M126" s="48">
        <f t="shared" si="43"/>
        <v>23.099999999999998</v>
      </c>
      <c r="N126" s="16">
        <f t="shared" si="44"/>
        <v>-1.4000000000000021</v>
      </c>
      <c r="O126" s="49">
        <f t="shared" si="45"/>
        <v>0.94285714285714273</v>
      </c>
      <c r="P126" s="16">
        <f t="shared" si="36"/>
        <v>23.099999999999998</v>
      </c>
      <c r="Q126" s="49"/>
    </row>
    <row r="127" spans="1:17" ht="15.75" customHeight="1" x14ac:dyDescent="0.25">
      <c r="A127" s="35" t="s">
        <v>231</v>
      </c>
      <c r="B127" s="83" t="s">
        <v>232</v>
      </c>
      <c r="C127" s="105">
        <v>1204.8000000000002</v>
      </c>
      <c r="D127" s="71">
        <f>301.4+0.5</f>
        <v>301.89999999999998</v>
      </c>
      <c r="E127" s="74">
        <f>302.9-E72</f>
        <v>302.79999999999995</v>
      </c>
      <c r="F127" s="75">
        <f>300.8+0.5</f>
        <v>301.3</v>
      </c>
      <c r="G127" s="84">
        <v>301.60000000000002</v>
      </c>
      <c r="H127" s="71">
        <f>297.2+0.5</f>
        <v>297.7</v>
      </c>
      <c r="I127" s="72">
        <v>297.5</v>
      </c>
      <c r="J127" s="71">
        <f>306.8+0.4</f>
        <v>307.2</v>
      </c>
      <c r="K127" s="84">
        <f>288</f>
        <v>288</v>
      </c>
      <c r="L127" s="48">
        <f t="shared" si="43"/>
        <v>1208.1000000000001</v>
      </c>
      <c r="M127" s="48">
        <f t="shared" si="43"/>
        <v>1189.9000000000001</v>
      </c>
      <c r="N127" s="78">
        <f t="shared" si="44"/>
        <v>-18.200000000000045</v>
      </c>
      <c r="O127" s="79">
        <f t="shared" si="45"/>
        <v>0.98493502193527027</v>
      </c>
      <c r="P127" s="16">
        <f t="shared" si="36"/>
        <v>-14.900000000000091</v>
      </c>
      <c r="Q127" s="49">
        <f t="shared" si="37"/>
        <v>0.98763280212483395</v>
      </c>
    </row>
    <row r="128" spans="1:17" ht="15.75" x14ac:dyDescent="0.25">
      <c r="A128" s="35" t="s">
        <v>233</v>
      </c>
      <c r="B128" s="83" t="s">
        <v>234</v>
      </c>
      <c r="C128" s="75">
        <f t="shared" ref="C128:M128" si="46">SUM(C129:C131)</f>
        <v>30.200000000000003</v>
      </c>
      <c r="D128" s="75">
        <f t="shared" si="46"/>
        <v>10</v>
      </c>
      <c r="E128" s="72">
        <f t="shared" si="46"/>
        <v>4.5999999999999996</v>
      </c>
      <c r="F128" s="71">
        <f t="shared" si="46"/>
        <v>7.2</v>
      </c>
      <c r="G128" s="73">
        <f t="shared" si="46"/>
        <v>3.9</v>
      </c>
      <c r="H128" s="71">
        <f t="shared" si="46"/>
        <v>8.3000000000000007</v>
      </c>
      <c r="I128" s="74">
        <f t="shared" si="46"/>
        <v>3.5</v>
      </c>
      <c r="J128" s="71">
        <f t="shared" si="46"/>
        <v>15.899999999999999</v>
      </c>
      <c r="K128" s="73">
        <f t="shared" si="46"/>
        <v>2.2000000000000002</v>
      </c>
      <c r="L128" s="48">
        <f t="shared" si="46"/>
        <v>41.400000000000006</v>
      </c>
      <c r="M128" s="68">
        <f t="shared" si="46"/>
        <v>14.2</v>
      </c>
      <c r="N128" s="78">
        <f t="shared" si="44"/>
        <v>-27.200000000000006</v>
      </c>
      <c r="O128" s="79">
        <f t="shared" si="45"/>
        <v>0.34299516908212552</v>
      </c>
      <c r="P128" s="16">
        <f t="shared" si="36"/>
        <v>-16.000000000000004</v>
      </c>
      <c r="Q128" s="49">
        <f t="shared" si="37"/>
        <v>0.4701986754966887</v>
      </c>
    </row>
    <row r="129" spans="1:17" ht="15.75" x14ac:dyDescent="0.25">
      <c r="A129" s="80" t="s">
        <v>235</v>
      </c>
      <c r="B129" s="81" t="s">
        <v>236</v>
      </c>
      <c r="C129" s="24">
        <v>30.200000000000003</v>
      </c>
      <c r="D129" s="65">
        <v>10</v>
      </c>
      <c r="E129" s="67">
        <v>4.5999999999999996</v>
      </c>
      <c r="F129" s="65">
        <v>7.2</v>
      </c>
      <c r="G129" s="66">
        <v>3.9</v>
      </c>
      <c r="H129" s="24">
        <f>4.1+4.2</f>
        <v>8.3000000000000007</v>
      </c>
      <c r="I129" s="67">
        <v>3.5</v>
      </c>
      <c r="J129" s="65">
        <f>3.9+6.8</f>
        <v>10.7</v>
      </c>
      <c r="K129" s="66">
        <v>2.2000000000000002</v>
      </c>
      <c r="L129" s="48">
        <f>D129+F129+H129+J129</f>
        <v>36.200000000000003</v>
      </c>
      <c r="M129" s="68">
        <f>E129+G129+I129+K129</f>
        <v>14.2</v>
      </c>
      <c r="N129" s="16">
        <f t="shared" si="44"/>
        <v>-22.000000000000004</v>
      </c>
      <c r="O129" s="49">
        <f t="shared" si="45"/>
        <v>0.39226519337016569</v>
      </c>
      <c r="P129" s="16">
        <f t="shared" si="36"/>
        <v>-16.000000000000004</v>
      </c>
      <c r="Q129" s="49">
        <f t="shared" si="37"/>
        <v>0.4701986754966887</v>
      </c>
    </row>
    <row r="130" spans="1:17" ht="15.75" x14ac:dyDescent="0.25">
      <c r="A130" s="80" t="s">
        <v>237</v>
      </c>
      <c r="B130" s="81" t="s">
        <v>238</v>
      </c>
      <c r="C130" s="24"/>
      <c r="D130" s="24"/>
      <c r="E130" s="51"/>
      <c r="F130" s="24"/>
      <c r="G130" s="47"/>
      <c r="H130" s="24"/>
      <c r="I130" s="52"/>
      <c r="J130" s="24"/>
      <c r="K130" s="47"/>
      <c r="L130" s="48"/>
      <c r="M130" s="48"/>
      <c r="N130" s="16"/>
      <c r="O130" s="49"/>
      <c r="P130" s="16">
        <f t="shared" si="36"/>
        <v>0</v>
      </c>
      <c r="Q130" s="49"/>
    </row>
    <row r="131" spans="1:17" ht="15.75" x14ac:dyDescent="0.25">
      <c r="A131" s="80" t="s">
        <v>239</v>
      </c>
      <c r="B131" s="81" t="s">
        <v>129</v>
      </c>
      <c r="C131" s="24">
        <v>0</v>
      </c>
      <c r="D131" s="24"/>
      <c r="E131" s="51"/>
      <c r="F131" s="24">
        <f>4.9-4.9</f>
        <v>0</v>
      </c>
      <c r="G131" s="47"/>
      <c r="H131" s="24">
        <v>0</v>
      </c>
      <c r="I131" s="52"/>
      <c r="J131" s="24">
        <v>5.2</v>
      </c>
      <c r="K131" s="47">
        <v>0</v>
      </c>
      <c r="L131" s="48">
        <f>D131+F131+H131+J131</f>
        <v>5.2</v>
      </c>
      <c r="M131" s="48">
        <f>E131+G131+I131+K131</f>
        <v>0</v>
      </c>
      <c r="N131" s="16">
        <f>M131-L131</f>
        <v>-5.2</v>
      </c>
      <c r="O131" s="49">
        <f>M131/L131</f>
        <v>0</v>
      </c>
      <c r="P131" s="78"/>
      <c r="Q131" s="79"/>
    </row>
    <row r="132" spans="1:17" ht="15.75" x14ac:dyDescent="0.25">
      <c r="A132" s="35" t="s">
        <v>240</v>
      </c>
      <c r="B132" s="83" t="s">
        <v>241</v>
      </c>
      <c r="C132" s="75">
        <f t="shared" ref="C132:M132" si="47">SUM(C133:C151)</f>
        <v>949.89999999999986</v>
      </c>
      <c r="D132" s="75">
        <f t="shared" si="47"/>
        <v>115.8</v>
      </c>
      <c r="E132" s="72">
        <f t="shared" si="47"/>
        <v>108.20000000000002</v>
      </c>
      <c r="F132" s="75">
        <f t="shared" si="47"/>
        <v>96.300000000000011</v>
      </c>
      <c r="G132" s="84">
        <f t="shared" si="47"/>
        <v>105.19999999999999</v>
      </c>
      <c r="H132" s="75">
        <f t="shared" si="47"/>
        <v>89.899999999999991</v>
      </c>
      <c r="I132" s="72">
        <f t="shared" si="47"/>
        <v>89.2</v>
      </c>
      <c r="J132" s="75">
        <f t="shared" si="47"/>
        <v>206.29999999999998</v>
      </c>
      <c r="K132" s="84">
        <f t="shared" si="47"/>
        <v>1471.5359999999998</v>
      </c>
      <c r="L132" s="76">
        <f t="shared" si="47"/>
        <v>508.3</v>
      </c>
      <c r="M132" s="76">
        <f t="shared" si="47"/>
        <v>1774.136</v>
      </c>
      <c r="N132" s="78">
        <f t="shared" ref="N132:N151" si="48">M132-L132</f>
        <v>1265.836</v>
      </c>
      <c r="O132" s="79">
        <f t="shared" ref="O132:O151" si="49">M132/L132</f>
        <v>3.490332480818414</v>
      </c>
      <c r="P132" s="16">
        <f t="shared" si="36"/>
        <v>824.2360000000001</v>
      </c>
      <c r="Q132" s="49">
        <f t="shared" si="37"/>
        <v>1.8677081798084012</v>
      </c>
    </row>
    <row r="133" spans="1:17" ht="15.75" x14ac:dyDescent="0.25">
      <c r="A133" s="80" t="s">
        <v>242</v>
      </c>
      <c r="B133" s="81" t="s">
        <v>131</v>
      </c>
      <c r="C133" s="24">
        <v>10.1</v>
      </c>
      <c r="D133" s="24">
        <v>3</v>
      </c>
      <c r="E133" s="46">
        <v>2.6</v>
      </c>
      <c r="F133" s="24">
        <v>2.7</v>
      </c>
      <c r="G133" s="66">
        <v>3</v>
      </c>
      <c r="H133" s="24">
        <v>2.7</v>
      </c>
      <c r="I133" s="46">
        <v>2.5</v>
      </c>
      <c r="J133" s="24">
        <v>2.4</v>
      </c>
      <c r="K133" s="47">
        <v>2.4</v>
      </c>
      <c r="L133" s="48">
        <f>D133+F133+H133+J133</f>
        <v>10.8</v>
      </c>
      <c r="M133" s="48">
        <f>E133+G133+I133+K133</f>
        <v>10.5</v>
      </c>
      <c r="N133" s="16">
        <f t="shared" si="48"/>
        <v>-0.30000000000000071</v>
      </c>
      <c r="O133" s="49">
        <f t="shared" si="49"/>
        <v>0.97222222222222221</v>
      </c>
      <c r="P133" s="16">
        <f t="shared" si="36"/>
        <v>0.40000000000000036</v>
      </c>
      <c r="Q133" s="49">
        <f t="shared" si="37"/>
        <v>1.0396039603960396</v>
      </c>
    </row>
    <row r="134" spans="1:17" ht="15.75" x14ac:dyDescent="0.25">
      <c r="A134" s="80" t="s">
        <v>243</v>
      </c>
      <c r="B134" s="81" t="s">
        <v>244</v>
      </c>
      <c r="C134" s="24">
        <v>88.6</v>
      </c>
      <c r="D134" s="24">
        <v>23.2</v>
      </c>
      <c r="E134" s="46">
        <v>22.9</v>
      </c>
      <c r="F134" s="24">
        <v>23.2</v>
      </c>
      <c r="G134" s="47">
        <v>23.2</v>
      </c>
      <c r="H134" s="24">
        <v>23.2</v>
      </c>
      <c r="I134" s="46">
        <v>23.4</v>
      </c>
      <c r="J134" s="24">
        <v>23.2</v>
      </c>
      <c r="K134" s="47">
        <v>23.3</v>
      </c>
      <c r="L134" s="48">
        <f t="shared" ref="L134:M151" si="50">D134+F134+H134+J134</f>
        <v>92.8</v>
      </c>
      <c r="M134" s="48">
        <f t="shared" si="50"/>
        <v>92.8</v>
      </c>
      <c r="N134" s="16">
        <f t="shared" si="48"/>
        <v>0</v>
      </c>
      <c r="O134" s="49">
        <f t="shared" si="49"/>
        <v>1</v>
      </c>
      <c r="P134" s="16">
        <f t="shared" si="36"/>
        <v>4.2000000000000028</v>
      </c>
      <c r="Q134" s="49">
        <f t="shared" si="37"/>
        <v>1.0474040632054176</v>
      </c>
    </row>
    <row r="135" spans="1:17" ht="15.75" x14ac:dyDescent="0.25">
      <c r="A135" s="80" t="s">
        <v>245</v>
      </c>
      <c r="B135" s="81" t="s">
        <v>246</v>
      </c>
      <c r="C135" s="24">
        <v>4.2</v>
      </c>
      <c r="D135" s="24">
        <v>0.9</v>
      </c>
      <c r="E135" s="46">
        <v>0.5</v>
      </c>
      <c r="F135" s="24">
        <v>4.8</v>
      </c>
      <c r="G135" s="47">
        <v>0.6</v>
      </c>
      <c r="H135" s="24">
        <v>4</v>
      </c>
      <c r="I135" s="46">
        <v>2.2999999999999998</v>
      </c>
      <c r="J135" s="24">
        <v>2.5</v>
      </c>
      <c r="K135" s="47">
        <v>1.3</v>
      </c>
      <c r="L135" s="48">
        <f t="shared" si="50"/>
        <v>12.2</v>
      </c>
      <c r="M135" s="48">
        <f t="shared" si="50"/>
        <v>4.7</v>
      </c>
      <c r="N135" s="16">
        <f t="shared" si="48"/>
        <v>-7.4999999999999991</v>
      </c>
      <c r="O135" s="49">
        <f t="shared" si="49"/>
        <v>0.3852459016393443</v>
      </c>
      <c r="P135" s="16">
        <f t="shared" si="36"/>
        <v>0.5</v>
      </c>
      <c r="Q135" s="49">
        <f t="shared" si="37"/>
        <v>1.1190476190476191</v>
      </c>
    </row>
    <row r="136" spans="1:17" ht="15.75" x14ac:dyDescent="0.25">
      <c r="A136" s="80" t="s">
        <v>247</v>
      </c>
      <c r="B136" s="81" t="s">
        <v>248</v>
      </c>
      <c r="C136" s="24">
        <v>0.4</v>
      </c>
      <c r="D136" s="24">
        <v>0.1</v>
      </c>
      <c r="E136" s="46">
        <v>0.1</v>
      </c>
      <c r="F136" s="24">
        <v>0.1</v>
      </c>
      <c r="G136" s="47">
        <v>0.1</v>
      </c>
      <c r="H136" s="24">
        <v>0.1</v>
      </c>
      <c r="I136" s="46">
        <v>0.1</v>
      </c>
      <c r="J136" s="24">
        <v>0.1</v>
      </c>
      <c r="K136" s="47">
        <v>0.1</v>
      </c>
      <c r="L136" s="48">
        <f t="shared" si="50"/>
        <v>0.4</v>
      </c>
      <c r="M136" s="48">
        <f t="shared" si="50"/>
        <v>0.4</v>
      </c>
      <c r="N136" s="16">
        <f t="shared" si="48"/>
        <v>0</v>
      </c>
      <c r="O136" s="49">
        <f t="shared" si="49"/>
        <v>1</v>
      </c>
      <c r="P136" s="16">
        <f t="shared" si="36"/>
        <v>0</v>
      </c>
      <c r="Q136" s="49">
        <f t="shared" si="37"/>
        <v>1</v>
      </c>
    </row>
    <row r="137" spans="1:17" ht="15.75" x14ac:dyDescent="0.25">
      <c r="A137" s="80" t="s">
        <v>249</v>
      </c>
      <c r="B137" s="81" t="s">
        <v>250</v>
      </c>
      <c r="C137" s="24">
        <v>0.60000000000000009</v>
      </c>
      <c r="D137" s="24">
        <v>0.2</v>
      </c>
      <c r="E137" s="46">
        <v>0.2</v>
      </c>
      <c r="F137" s="24">
        <v>0.1</v>
      </c>
      <c r="G137" s="47">
        <v>0.1</v>
      </c>
      <c r="H137" s="24">
        <v>0.1</v>
      </c>
      <c r="I137" s="46">
        <v>0.1</v>
      </c>
      <c r="J137" s="24">
        <v>0.2</v>
      </c>
      <c r="K137" s="47">
        <v>0.2</v>
      </c>
      <c r="L137" s="48">
        <f t="shared" si="50"/>
        <v>0.60000000000000009</v>
      </c>
      <c r="M137" s="48">
        <f t="shared" si="50"/>
        <v>0.60000000000000009</v>
      </c>
      <c r="N137" s="16">
        <f t="shared" si="48"/>
        <v>0</v>
      </c>
      <c r="O137" s="49">
        <f t="shared" si="49"/>
        <v>1</v>
      </c>
      <c r="P137" s="16">
        <f t="shared" si="36"/>
        <v>0</v>
      </c>
      <c r="Q137" s="49">
        <f t="shared" si="37"/>
        <v>1</v>
      </c>
    </row>
    <row r="138" spans="1:17" ht="15.75" x14ac:dyDescent="0.25">
      <c r="A138" s="80" t="s">
        <v>251</v>
      </c>
      <c r="B138" s="81" t="s">
        <v>135</v>
      </c>
      <c r="C138" s="24">
        <v>1.1000000000000001</v>
      </c>
      <c r="D138" s="24">
        <f>0.4-0.1</f>
        <v>0.30000000000000004</v>
      </c>
      <c r="E138" s="46">
        <v>0.2</v>
      </c>
      <c r="F138" s="24">
        <f>0.4-0.1</f>
        <v>0.30000000000000004</v>
      </c>
      <c r="G138" s="47">
        <v>0.1</v>
      </c>
      <c r="H138" s="24">
        <f>0.4-0.1</f>
        <v>0.30000000000000004</v>
      </c>
      <c r="I138" s="46">
        <v>0.5</v>
      </c>
      <c r="J138" s="24">
        <v>0.3</v>
      </c>
      <c r="K138" s="47">
        <v>0.2</v>
      </c>
      <c r="L138" s="48">
        <f t="shared" si="50"/>
        <v>1.2000000000000002</v>
      </c>
      <c r="M138" s="48">
        <f t="shared" si="50"/>
        <v>1</v>
      </c>
      <c r="N138" s="16">
        <f t="shared" si="48"/>
        <v>-0.20000000000000018</v>
      </c>
      <c r="O138" s="49">
        <f t="shared" si="49"/>
        <v>0.83333333333333326</v>
      </c>
      <c r="P138" s="16">
        <f t="shared" si="36"/>
        <v>-0.10000000000000009</v>
      </c>
      <c r="Q138" s="49">
        <f t="shared" si="37"/>
        <v>0.90909090909090906</v>
      </c>
    </row>
    <row r="139" spans="1:17" ht="15.75" x14ac:dyDescent="0.25">
      <c r="A139" s="80" t="s">
        <v>252</v>
      </c>
      <c r="B139" s="81" t="s">
        <v>137</v>
      </c>
      <c r="C139" s="24">
        <v>0.30000000000000004</v>
      </c>
      <c r="D139" s="24">
        <v>0.2</v>
      </c>
      <c r="E139" s="46">
        <v>0</v>
      </c>
      <c r="F139" s="24">
        <v>0.1</v>
      </c>
      <c r="G139" s="47"/>
      <c r="H139" s="24">
        <v>0.2</v>
      </c>
      <c r="I139" s="46">
        <v>0</v>
      </c>
      <c r="J139" s="24">
        <v>0.2</v>
      </c>
      <c r="K139" s="47"/>
      <c r="L139" s="48">
        <f t="shared" si="50"/>
        <v>0.7</v>
      </c>
      <c r="M139" s="48">
        <f t="shared" si="50"/>
        <v>0</v>
      </c>
      <c r="N139" s="16">
        <f t="shared" si="48"/>
        <v>-0.7</v>
      </c>
      <c r="O139" s="49">
        <f t="shared" si="49"/>
        <v>0</v>
      </c>
      <c r="P139" s="16">
        <f t="shared" si="36"/>
        <v>-0.30000000000000004</v>
      </c>
      <c r="Q139" s="49"/>
    </row>
    <row r="140" spans="1:17" ht="15.75" x14ac:dyDescent="0.25">
      <c r="A140" s="80" t="s">
        <v>253</v>
      </c>
      <c r="B140" s="81" t="s">
        <v>139</v>
      </c>
      <c r="C140" s="24">
        <v>1.2</v>
      </c>
      <c r="D140" s="24">
        <v>0.3</v>
      </c>
      <c r="E140" s="51"/>
      <c r="F140" s="24">
        <v>0.3</v>
      </c>
      <c r="G140" s="47">
        <v>0.1</v>
      </c>
      <c r="H140" s="24">
        <v>0.3</v>
      </c>
      <c r="I140" s="46">
        <v>0.1</v>
      </c>
      <c r="J140" s="24">
        <v>0.3</v>
      </c>
      <c r="K140" s="47">
        <v>1</v>
      </c>
      <c r="L140" s="48">
        <f t="shared" si="50"/>
        <v>1.2</v>
      </c>
      <c r="M140" s="48">
        <f t="shared" si="50"/>
        <v>1.2</v>
      </c>
      <c r="N140" s="16">
        <f t="shared" si="48"/>
        <v>0</v>
      </c>
      <c r="O140" s="49">
        <f t="shared" si="49"/>
        <v>1</v>
      </c>
      <c r="P140" s="16">
        <f t="shared" si="36"/>
        <v>0</v>
      </c>
      <c r="Q140" s="49">
        <f t="shared" si="37"/>
        <v>1</v>
      </c>
    </row>
    <row r="141" spans="1:17" ht="15.75" x14ac:dyDescent="0.25">
      <c r="A141" s="80" t="s">
        <v>254</v>
      </c>
      <c r="B141" s="81" t="s">
        <v>141</v>
      </c>
      <c r="C141" s="24">
        <v>0.4</v>
      </c>
      <c r="D141" s="24">
        <v>0.2</v>
      </c>
      <c r="E141" s="46">
        <v>0.1</v>
      </c>
      <c r="F141" s="24">
        <v>0.1</v>
      </c>
      <c r="G141" s="47">
        <v>0.1</v>
      </c>
      <c r="H141" s="24">
        <v>0.1</v>
      </c>
      <c r="I141" s="46">
        <v>0.1</v>
      </c>
      <c r="J141" s="24">
        <v>0.1</v>
      </c>
      <c r="K141" s="47">
        <v>0.1</v>
      </c>
      <c r="L141" s="48">
        <f t="shared" si="50"/>
        <v>0.5</v>
      </c>
      <c r="M141" s="48">
        <f t="shared" si="50"/>
        <v>0.4</v>
      </c>
      <c r="N141" s="16">
        <f t="shared" si="48"/>
        <v>-9.9999999999999978E-2</v>
      </c>
      <c r="O141" s="49">
        <f t="shared" si="49"/>
        <v>0.8</v>
      </c>
      <c r="P141" s="16">
        <f t="shared" si="36"/>
        <v>0</v>
      </c>
      <c r="Q141" s="49">
        <f t="shared" si="37"/>
        <v>1</v>
      </c>
    </row>
    <row r="142" spans="1:17" ht="15.75" x14ac:dyDescent="0.25">
      <c r="A142" s="80" t="s">
        <v>255</v>
      </c>
      <c r="B142" s="81" t="s">
        <v>256</v>
      </c>
      <c r="C142" s="24">
        <v>33.799999999999997</v>
      </c>
      <c r="D142" s="24">
        <v>9.8000000000000007</v>
      </c>
      <c r="E142" s="46">
        <v>9.8000000000000007</v>
      </c>
      <c r="F142" s="24">
        <v>9.6999999999999993</v>
      </c>
      <c r="G142" s="47">
        <v>9.6</v>
      </c>
      <c r="H142" s="24">
        <v>9.8000000000000007</v>
      </c>
      <c r="I142" s="46">
        <v>9.6999999999999993</v>
      </c>
      <c r="J142" s="24">
        <v>9.6999999999999993</v>
      </c>
      <c r="K142" s="47">
        <v>9.6999999999999993</v>
      </c>
      <c r="L142" s="48">
        <f t="shared" si="50"/>
        <v>39</v>
      </c>
      <c r="M142" s="48">
        <f t="shared" si="50"/>
        <v>38.799999999999997</v>
      </c>
      <c r="N142" s="16">
        <f t="shared" si="48"/>
        <v>-0.20000000000000284</v>
      </c>
      <c r="O142" s="49">
        <f t="shared" si="49"/>
        <v>0.99487179487179478</v>
      </c>
      <c r="P142" s="16">
        <f t="shared" si="36"/>
        <v>5</v>
      </c>
      <c r="Q142" s="49">
        <f t="shared" si="37"/>
        <v>1.1479289940828403</v>
      </c>
    </row>
    <row r="143" spans="1:17" ht="15.75" customHeight="1" x14ac:dyDescent="0.25">
      <c r="A143" s="80" t="s">
        <v>257</v>
      </c>
      <c r="B143" s="81" t="s">
        <v>147</v>
      </c>
      <c r="C143" s="24">
        <v>2.5999999999999996</v>
      </c>
      <c r="D143" s="24">
        <v>0.4</v>
      </c>
      <c r="E143" s="46">
        <v>0.7</v>
      </c>
      <c r="F143" s="24">
        <v>0.5</v>
      </c>
      <c r="G143" s="47">
        <v>0.4</v>
      </c>
      <c r="H143" s="24">
        <v>0.7</v>
      </c>
      <c r="I143" s="46">
        <v>0.5</v>
      </c>
      <c r="J143" s="24">
        <v>0.5</v>
      </c>
      <c r="K143" s="66">
        <v>0.9</v>
      </c>
      <c r="L143" s="48">
        <f t="shared" si="50"/>
        <v>2.1</v>
      </c>
      <c r="M143" s="48">
        <f t="shared" si="50"/>
        <v>2.5</v>
      </c>
      <c r="N143" s="16">
        <f t="shared" si="48"/>
        <v>0.39999999999999991</v>
      </c>
      <c r="O143" s="49">
        <f t="shared" si="49"/>
        <v>1.1904761904761905</v>
      </c>
      <c r="P143" s="16">
        <f t="shared" si="36"/>
        <v>-9.9999999999999645E-2</v>
      </c>
      <c r="Q143" s="49">
        <f t="shared" si="37"/>
        <v>0.96153846153846168</v>
      </c>
    </row>
    <row r="144" spans="1:17" ht="15.75" x14ac:dyDescent="0.25">
      <c r="A144" s="80" t="s">
        <v>258</v>
      </c>
      <c r="B144" s="81" t="s">
        <v>259</v>
      </c>
      <c r="C144" s="24">
        <v>32.599999999999994</v>
      </c>
      <c r="D144" s="24">
        <v>8.1999999999999993</v>
      </c>
      <c r="E144" s="46">
        <v>8.1999999999999993</v>
      </c>
      <c r="F144" s="24">
        <v>8.1</v>
      </c>
      <c r="G144" s="47">
        <v>8.1</v>
      </c>
      <c r="H144" s="24">
        <v>8.1999999999999993</v>
      </c>
      <c r="I144" s="46">
        <v>8.1999999999999993</v>
      </c>
      <c r="J144" s="24">
        <v>8.1</v>
      </c>
      <c r="K144" s="47">
        <v>8.1</v>
      </c>
      <c r="L144" s="48">
        <f t="shared" si="50"/>
        <v>32.599999999999994</v>
      </c>
      <c r="M144" s="48">
        <f t="shared" si="50"/>
        <v>32.599999999999994</v>
      </c>
      <c r="N144" s="16">
        <f t="shared" si="48"/>
        <v>0</v>
      </c>
      <c r="O144" s="49">
        <f t="shared" si="49"/>
        <v>1</v>
      </c>
      <c r="P144" s="16">
        <f t="shared" si="36"/>
        <v>0</v>
      </c>
      <c r="Q144" s="49">
        <f t="shared" si="37"/>
        <v>1</v>
      </c>
    </row>
    <row r="145" spans="1:17" ht="15.75" customHeight="1" x14ac:dyDescent="0.25">
      <c r="A145" s="80" t="s">
        <v>260</v>
      </c>
      <c r="B145" s="81" t="s">
        <v>261</v>
      </c>
      <c r="C145" s="24">
        <v>427.4</v>
      </c>
      <c r="D145" s="65"/>
      <c r="E145" s="99"/>
      <c r="F145" s="65"/>
      <c r="G145" s="66"/>
      <c r="H145" s="65"/>
      <c r="I145" s="100"/>
      <c r="J145" s="65">
        <v>100</v>
      </c>
      <c r="K145" s="66">
        <f>863.461+110.472+0.554+0.249</f>
        <v>974.73599999999999</v>
      </c>
      <c r="L145" s="48">
        <f t="shared" si="50"/>
        <v>100</v>
      </c>
      <c r="M145" s="48">
        <f t="shared" si="50"/>
        <v>974.73599999999999</v>
      </c>
      <c r="N145" s="30">
        <f t="shared" si="48"/>
        <v>874.73599999999999</v>
      </c>
      <c r="O145" s="49">
        <f t="shared" si="49"/>
        <v>9.7473600000000005</v>
      </c>
      <c r="P145" s="16">
        <f t="shared" si="36"/>
        <v>547.33600000000001</v>
      </c>
      <c r="Q145" s="49">
        <f t="shared" si="37"/>
        <v>2.2806176883481517</v>
      </c>
    </row>
    <row r="146" spans="1:17" ht="31.5" customHeight="1" x14ac:dyDescent="0.25">
      <c r="A146" s="80" t="s">
        <v>262</v>
      </c>
      <c r="B146" s="81" t="s">
        <v>263</v>
      </c>
      <c r="C146" s="65">
        <v>267.2</v>
      </c>
      <c r="D146" s="65">
        <f>58.1+9.7+0.4</f>
        <v>68.2</v>
      </c>
      <c r="E146" s="67">
        <v>62</v>
      </c>
      <c r="F146" s="65">
        <f>35+9.7+0.4</f>
        <v>45.1</v>
      </c>
      <c r="G146" s="66">
        <v>39.799999999999997</v>
      </c>
      <c r="H146" s="65">
        <f>30.9+8.2+0.3</f>
        <v>39.399999999999991</v>
      </c>
      <c r="I146" s="67">
        <v>38.200000000000003</v>
      </c>
      <c r="J146" s="65">
        <f>48.2+7.7+0.4</f>
        <v>56.300000000000004</v>
      </c>
      <c r="K146" s="66">
        <v>55.9</v>
      </c>
      <c r="L146" s="48">
        <f t="shared" si="50"/>
        <v>209</v>
      </c>
      <c r="M146" s="68">
        <f t="shared" si="50"/>
        <v>195.9</v>
      </c>
      <c r="N146" s="16">
        <f t="shared" si="48"/>
        <v>-13.099999999999994</v>
      </c>
      <c r="O146" s="49">
        <f t="shared" si="49"/>
        <v>0.93732057416267944</v>
      </c>
      <c r="P146" s="16">
        <f t="shared" si="36"/>
        <v>-71.299999999999983</v>
      </c>
      <c r="Q146" s="49">
        <f t="shared" si="37"/>
        <v>0.73315868263473061</v>
      </c>
    </row>
    <row r="147" spans="1:17" ht="15.75" x14ac:dyDescent="0.25">
      <c r="A147" s="80" t="s">
        <v>264</v>
      </c>
      <c r="B147" s="81" t="s">
        <v>265</v>
      </c>
      <c r="C147" s="24">
        <v>1.3</v>
      </c>
      <c r="D147" s="65">
        <v>0.5</v>
      </c>
      <c r="E147" s="67">
        <v>0.5</v>
      </c>
      <c r="F147" s="65">
        <v>0.5</v>
      </c>
      <c r="G147" s="66">
        <v>0.8</v>
      </c>
      <c r="H147" s="65">
        <v>0.5</v>
      </c>
      <c r="I147" s="67">
        <v>0.7</v>
      </c>
      <c r="J147" s="65">
        <v>0.5</v>
      </c>
      <c r="K147" s="66"/>
      <c r="L147" s="48">
        <f t="shared" si="50"/>
        <v>2</v>
      </c>
      <c r="M147" s="48">
        <f t="shared" si="50"/>
        <v>2</v>
      </c>
      <c r="N147" s="16">
        <f t="shared" si="48"/>
        <v>0</v>
      </c>
      <c r="O147" s="49">
        <f t="shared" si="49"/>
        <v>1</v>
      </c>
      <c r="P147" s="16">
        <f t="shared" si="36"/>
        <v>0.7</v>
      </c>
      <c r="Q147" s="49">
        <f t="shared" si="37"/>
        <v>1.5384615384615383</v>
      </c>
    </row>
    <row r="148" spans="1:17" ht="15.75" x14ac:dyDescent="0.25">
      <c r="A148" s="80" t="s">
        <v>266</v>
      </c>
      <c r="B148" s="81" t="s">
        <v>267</v>
      </c>
      <c r="C148" s="24">
        <v>0.8</v>
      </c>
      <c r="D148" s="24"/>
      <c r="E148" s="46">
        <v>0.2</v>
      </c>
      <c r="F148" s="24">
        <v>0.5</v>
      </c>
      <c r="G148" s="47">
        <f>0.2+0.1</f>
        <v>0.30000000000000004</v>
      </c>
      <c r="H148" s="24"/>
      <c r="I148" s="46"/>
      <c r="J148" s="24">
        <v>1.7</v>
      </c>
      <c r="K148" s="47">
        <v>0.6</v>
      </c>
      <c r="L148" s="48">
        <f t="shared" si="50"/>
        <v>2.2000000000000002</v>
      </c>
      <c r="M148" s="48">
        <f t="shared" si="50"/>
        <v>1.1000000000000001</v>
      </c>
      <c r="N148" s="16"/>
      <c r="O148" s="49"/>
      <c r="P148" s="78"/>
      <c r="Q148" s="79"/>
    </row>
    <row r="149" spans="1:17" ht="31.5" x14ac:dyDescent="0.25">
      <c r="A149" s="80" t="s">
        <v>268</v>
      </c>
      <c r="B149" s="81" t="s">
        <v>269</v>
      </c>
      <c r="C149" s="65">
        <v>0</v>
      </c>
      <c r="D149" s="24"/>
      <c r="E149" s="46"/>
      <c r="F149" s="24"/>
      <c r="G149" s="47"/>
      <c r="H149" s="24"/>
      <c r="I149" s="52"/>
      <c r="J149" s="24"/>
      <c r="K149" s="69">
        <v>34</v>
      </c>
      <c r="L149" s="48">
        <f t="shared" si="50"/>
        <v>0</v>
      </c>
      <c r="M149" s="68">
        <f t="shared" si="50"/>
        <v>34</v>
      </c>
      <c r="N149" s="16">
        <f t="shared" si="48"/>
        <v>34</v>
      </c>
      <c r="O149" s="49"/>
      <c r="P149" s="78">
        <f t="shared" si="36"/>
        <v>34</v>
      </c>
      <c r="Q149" s="79"/>
    </row>
    <row r="150" spans="1:17" ht="15.75" customHeight="1" x14ac:dyDescent="0.25">
      <c r="A150" s="80" t="s">
        <v>270</v>
      </c>
      <c r="B150" s="81" t="s">
        <v>271</v>
      </c>
      <c r="C150" s="24">
        <v>0</v>
      </c>
      <c r="D150" s="24"/>
      <c r="E150" s="46"/>
      <c r="F150" s="24"/>
      <c r="G150" s="47"/>
      <c r="H150" s="24"/>
      <c r="I150" s="52"/>
      <c r="J150" s="24"/>
      <c r="K150" s="47"/>
      <c r="L150" s="48">
        <f t="shared" si="50"/>
        <v>0</v>
      </c>
      <c r="M150" s="48">
        <f t="shared" si="50"/>
        <v>0</v>
      </c>
      <c r="N150" s="16"/>
      <c r="O150" s="49"/>
      <c r="P150" s="78"/>
      <c r="Q150" s="79"/>
    </row>
    <row r="151" spans="1:17" ht="15.75" x14ac:dyDescent="0.25">
      <c r="A151" s="80" t="s">
        <v>272</v>
      </c>
      <c r="B151" s="81" t="s">
        <v>273</v>
      </c>
      <c r="C151" s="24">
        <v>77.3</v>
      </c>
      <c r="D151" s="24">
        <v>0.3</v>
      </c>
      <c r="E151" s="46">
        <f>0.2</f>
        <v>0.2</v>
      </c>
      <c r="F151" s="24">
        <v>0.2</v>
      </c>
      <c r="G151" s="47">
        <f>19.5-0.6</f>
        <v>18.899999999999999</v>
      </c>
      <c r="H151" s="24">
        <v>0.3</v>
      </c>
      <c r="I151" s="67">
        <v>2.8</v>
      </c>
      <c r="J151" s="24">
        <v>0.2</v>
      </c>
      <c r="K151" s="66">
        <f>354.5+4.5</f>
        <v>359</v>
      </c>
      <c r="L151" s="48">
        <f t="shared" si="50"/>
        <v>1</v>
      </c>
      <c r="M151" s="48">
        <f t="shared" si="50"/>
        <v>380.9</v>
      </c>
      <c r="N151" s="16">
        <f t="shared" si="48"/>
        <v>379.9</v>
      </c>
      <c r="O151" s="49">
        <f t="shared" si="49"/>
        <v>380.9</v>
      </c>
      <c r="P151" s="16">
        <f t="shared" si="36"/>
        <v>303.59999999999997</v>
      </c>
      <c r="Q151" s="49"/>
    </row>
    <row r="152" spans="1:17" ht="21.75" customHeight="1" x14ac:dyDescent="0.25">
      <c r="A152" s="58" t="s">
        <v>274</v>
      </c>
      <c r="B152" s="88" t="s">
        <v>275</v>
      </c>
      <c r="C152" s="84">
        <f t="shared" ref="C152:M152" si="51">C22-C40</f>
        <v>1361.3619999999901</v>
      </c>
      <c r="D152" s="84">
        <f t="shared" si="51"/>
        <v>1209.8000000000002</v>
      </c>
      <c r="E152" s="72">
        <f t="shared" si="51"/>
        <v>1542.6459999999961</v>
      </c>
      <c r="F152" s="84">
        <f t="shared" si="51"/>
        <v>-683.50000000000045</v>
      </c>
      <c r="G152" s="84">
        <f t="shared" si="51"/>
        <v>-330.50300000000107</v>
      </c>
      <c r="H152" s="84">
        <f t="shared" si="51"/>
        <v>-936.09000000000037</v>
      </c>
      <c r="I152" s="72">
        <f t="shared" si="51"/>
        <v>-987.30399999999941</v>
      </c>
      <c r="J152" s="84">
        <f t="shared" si="51"/>
        <v>501.48401000000104</v>
      </c>
      <c r="K152" s="84">
        <f t="shared" si="51"/>
        <v>-120.1359999999986</v>
      </c>
      <c r="L152" s="84">
        <f t="shared" si="51"/>
        <v>91.694009999995615</v>
      </c>
      <c r="M152" s="84">
        <f t="shared" si="51"/>
        <v>104.70299999999406</v>
      </c>
      <c r="N152" s="106">
        <f>M152-L152</f>
        <v>13.008989999998448</v>
      </c>
      <c r="O152" s="79">
        <f>(M152)/L152</f>
        <v>1.1418739348404445</v>
      </c>
      <c r="P152" s="106">
        <f>M152-C152</f>
        <v>-1256.658999999996</v>
      </c>
      <c r="Q152" s="79">
        <f>M152/C152</f>
        <v>7.6910476419934468E-2</v>
      </c>
    </row>
    <row r="153" spans="1:17" ht="15.75" x14ac:dyDescent="0.25">
      <c r="A153" s="10"/>
      <c r="B153" s="18"/>
      <c r="C153" s="26"/>
      <c r="D153" s="10"/>
      <c r="E153" s="10"/>
      <c r="F153" s="107"/>
      <c r="G153" s="107"/>
      <c r="H153" s="107"/>
      <c r="I153" s="107"/>
      <c r="J153" s="107"/>
      <c r="K153" s="108"/>
      <c r="L153" s="107"/>
      <c r="M153" s="107"/>
      <c r="N153" s="10"/>
      <c r="O153" s="10"/>
    </row>
    <row r="154" spans="1:17" ht="18.75" x14ac:dyDescent="0.3">
      <c r="B154" s="109"/>
      <c r="C154" s="109"/>
      <c r="E154" s="110"/>
    </row>
    <row r="155" spans="1:17" ht="18.75" x14ac:dyDescent="0.3">
      <c r="B155" s="136" t="s">
        <v>276</v>
      </c>
      <c r="C155" s="136"/>
      <c r="H155" s="111"/>
      <c r="I155" s="111"/>
      <c r="L155" s="110"/>
      <c r="M155" s="110"/>
    </row>
    <row r="156" spans="1:17" x14ac:dyDescent="0.2">
      <c r="B156" s="137" t="s">
        <v>277</v>
      </c>
      <c r="C156" s="137"/>
      <c r="D156" s="137"/>
      <c r="E156" s="137"/>
      <c r="F156" s="137"/>
      <c r="G156" s="137"/>
      <c r="H156" s="137"/>
      <c r="I156" s="137"/>
    </row>
    <row r="157" spans="1:17" ht="18.75" x14ac:dyDescent="0.3">
      <c r="B157" s="112" t="s">
        <v>278</v>
      </c>
      <c r="C157" s="109"/>
    </row>
    <row r="158" spans="1:17" ht="15.75" x14ac:dyDescent="0.25">
      <c r="B158" s="113" t="s">
        <v>279</v>
      </c>
      <c r="C158" s="114"/>
    </row>
    <row r="159" spans="1:17" ht="15.75" x14ac:dyDescent="0.25">
      <c r="B159" s="115"/>
      <c r="C159" s="115"/>
    </row>
    <row r="160" spans="1:17" ht="15.75" x14ac:dyDescent="0.25">
      <c r="B160" s="115"/>
      <c r="C160" s="115"/>
    </row>
  </sheetData>
  <mergeCells count="16">
    <mergeCell ref="B155:C155"/>
    <mergeCell ref="B156:I156"/>
    <mergeCell ref="P4:Q4"/>
    <mergeCell ref="D5:E5"/>
    <mergeCell ref="F5:G5"/>
    <mergeCell ref="H5:I5"/>
    <mergeCell ref="J5:K5"/>
    <mergeCell ref="N1:O1"/>
    <mergeCell ref="B2:C2"/>
    <mergeCell ref="H3:J3"/>
    <mergeCell ref="A4:A5"/>
    <mergeCell ref="B4:B5"/>
    <mergeCell ref="C4:C5"/>
    <mergeCell ref="D4:K4"/>
    <mergeCell ref="L4:M5"/>
    <mergeCell ref="N4:O4"/>
  </mergeCells>
  <pageMargins left="0.74803149606299213" right="0.35433070866141736" top="0.78740157480314965" bottom="0.6692913385826772" header="0.31496062992125984" footer="0.31496062992125984"/>
  <pageSetup paperSize="8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Piel.Nr.1 izpilde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Romualda Voitkevica</dc:creator>
  <cp:lastModifiedBy>Romualda Voitkevica</cp:lastModifiedBy>
  <dcterms:created xsi:type="dcterms:W3CDTF">2019-07-24T07:09:45Z</dcterms:created>
  <dcterms:modified xsi:type="dcterms:W3CDTF">2019-07-24T08:49:18Z</dcterms:modified>
</cp:coreProperties>
</file>