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abonent2008\users\R.Voitkevica\Desktop\"/>
    </mc:Choice>
  </mc:AlternateContent>
  <xr:revisionPtr revIDLastSave="0" documentId="13_ncr:1_{576DC989-6725-4EE2-A066-F6A8CA9506CF}" xr6:coauthVersionLast="43" xr6:coauthVersionMax="43" xr10:uidLastSave="{00000000-0000-0000-0000-000000000000}"/>
  <bookViews>
    <workbookView xWindow="-120" yWindow="-120" windowWidth="29040" windowHeight="15840" xr2:uid="{19531252-CC2C-4AB8-AB8D-620A3413F3E2}"/>
  </bookViews>
  <sheets>
    <sheet name="Piel.Nr.1 izpilde" sheetId="1" r:id="rId1"/>
  </sheets>
  <calcPr calcId="18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52" i="1" l="1"/>
  <c r="L151" i="1" l="1"/>
  <c r="K151" i="1"/>
  <c r="I151" i="1"/>
  <c r="E151" i="1"/>
  <c r="M151" i="1" s="1"/>
  <c r="M150" i="1"/>
  <c r="L150" i="1"/>
  <c r="M149" i="1"/>
  <c r="P149" i="1" s="1"/>
  <c r="L149" i="1"/>
  <c r="M148" i="1"/>
  <c r="L148" i="1"/>
  <c r="N147" i="1"/>
  <c r="M147" i="1"/>
  <c r="L147" i="1"/>
  <c r="P146" i="1"/>
  <c r="M146" i="1"/>
  <c r="Q146" i="1" s="1"/>
  <c r="J146" i="1"/>
  <c r="H146" i="1"/>
  <c r="F146" i="1"/>
  <c r="D146" i="1"/>
  <c r="L145" i="1"/>
  <c r="K145" i="1"/>
  <c r="M145" i="1" s="1"/>
  <c r="P145" i="1" s="1"/>
  <c r="N144" i="1"/>
  <c r="M144" i="1"/>
  <c r="O144" i="1" s="1"/>
  <c r="L144" i="1"/>
  <c r="M143" i="1"/>
  <c r="Q143" i="1" s="1"/>
  <c r="L143" i="1"/>
  <c r="M142" i="1"/>
  <c r="L142" i="1"/>
  <c r="P141" i="1"/>
  <c r="M141" i="1"/>
  <c r="Q141" i="1" s="1"/>
  <c r="L141" i="1"/>
  <c r="O141" i="1" s="1"/>
  <c r="M140" i="1"/>
  <c r="L140" i="1"/>
  <c r="M139" i="1"/>
  <c r="L139" i="1"/>
  <c r="P138" i="1"/>
  <c r="M138" i="1"/>
  <c r="Q138" i="1" s="1"/>
  <c r="H138" i="1"/>
  <c r="H132" i="1" s="1"/>
  <c r="F138" i="1"/>
  <c r="L138" i="1" s="1"/>
  <c r="O138" i="1" s="1"/>
  <c r="D138" i="1"/>
  <c r="M137" i="1"/>
  <c r="Q137" i="1" s="1"/>
  <c r="L137" i="1"/>
  <c r="N136" i="1"/>
  <c r="M136" i="1"/>
  <c r="Q136" i="1" s="1"/>
  <c r="L136" i="1"/>
  <c r="M135" i="1"/>
  <c r="Q135" i="1" s="1"/>
  <c r="L135" i="1"/>
  <c r="N134" i="1"/>
  <c r="M134" i="1"/>
  <c r="Q134" i="1" s="1"/>
  <c r="L134" i="1"/>
  <c r="M133" i="1"/>
  <c r="Q133" i="1" s="1"/>
  <c r="L133" i="1"/>
  <c r="K132" i="1"/>
  <c r="J132" i="1"/>
  <c r="I132" i="1"/>
  <c r="G132" i="1"/>
  <c r="F132" i="1"/>
  <c r="M131" i="1"/>
  <c r="L131" i="1"/>
  <c r="F131" i="1"/>
  <c r="P130" i="1"/>
  <c r="P129" i="1"/>
  <c r="M129" i="1"/>
  <c r="Q129" i="1" s="1"/>
  <c r="L129" i="1"/>
  <c r="K128" i="1"/>
  <c r="J128" i="1"/>
  <c r="I128" i="1"/>
  <c r="H128" i="1"/>
  <c r="G128" i="1"/>
  <c r="F128" i="1"/>
  <c r="E128" i="1"/>
  <c r="D128" i="1"/>
  <c r="K127" i="1"/>
  <c r="J127" i="1"/>
  <c r="H127" i="1"/>
  <c r="F127" i="1"/>
  <c r="E127" i="1"/>
  <c r="M127" i="1" s="1"/>
  <c r="D127" i="1"/>
  <c r="L127" i="1" s="1"/>
  <c r="M126" i="1"/>
  <c r="L126" i="1"/>
  <c r="M125" i="1"/>
  <c r="L125" i="1"/>
  <c r="N124" i="1"/>
  <c r="M124" i="1"/>
  <c r="Q124" i="1" s="1"/>
  <c r="L124" i="1"/>
  <c r="M122" i="1"/>
  <c r="L122" i="1"/>
  <c r="L120" i="1" s="1"/>
  <c r="M121" i="1"/>
  <c r="K120" i="1"/>
  <c r="J120" i="1"/>
  <c r="I120" i="1"/>
  <c r="H120" i="1"/>
  <c r="G120" i="1"/>
  <c r="F120" i="1"/>
  <c r="E120" i="1"/>
  <c r="D120" i="1"/>
  <c r="M119" i="1"/>
  <c r="N119" i="1" s="1"/>
  <c r="L119" i="1"/>
  <c r="M118" i="1"/>
  <c r="L118" i="1"/>
  <c r="P117" i="1"/>
  <c r="M117" i="1"/>
  <c r="Q117" i="1" s="1"/>
  <c r="L117" i="1"/>
  <c r="O117" i="1" s="1"/>
  <c r="M113" i="1"/>
  <c r="L113" i="1"/>
  <c r="K112" i="1"/>
  <c r="J112" i="1"/>
  <c r="I112" i="1"/>
  <c r="H112" i="1"/>
  <c r="G112" i="1"/>
  <c r="F112" i="1"/>
  <c r="E112" i="1"/>
  <c r="D112" i="1"/>
  <c r="M111" i="1"/>
  <c r="L111" i="1"/>
  <c r="M110" i="1"/>
  <c r="Q110" i="1" s="1"/>
  <c r="L110" i="1"/>
  <c r="M109" i="1"/>
  <c r="L109" i="1"/>
  <c r="N108" i="1"/>
  <c r="M108" i="1"/>
  <c r="P108" i="1" s="1"/>
  <c r="L108" i="1"/>
  <c r="M107" i="1"/>
  <c r="Q107" i="1" s="1"/>
  <c r="H107" i="1"/>
  <c r="H98" i="1" s="1"/>
  <c r="H40" i="1" s="1"/>
  <c r="M106" i="1"/>
  <c r="Q106" i="1" s="1"/>
  <c r="J106" i="1"/>
  <c r="L106" i="1" s="1"/>
  <c r="N106" i="1" s="1"/>
  <c r="M105" i="1"/>
  <c r="Q105" i="1" s="1"/>
  <c r="L105" i="1"/>
  <c r="M104" i="1"/>
  <c r="Q104" i="1" s="1"/>
  <c r="L104" i="1"/>
  <c r="O104" i="1" s="1"/>
  <c r="M103" i="1"/>
  <c r="Q103" i="1" s="1"/>
  <c r="L103" i="1"/>
  <c r="M102" i="1"/>
  <c r="P102" i="1" s="1"/>
  <c r="L102" i="1"/>
  <c r="M101" i="1"/>
  <c r="Q101" i="1" s="1"/>
  <c r="L101" i="1"/>
  <c r="O101" i="1" s="1"/>
  <c r="Q100" i="1"/>
  <c r="M100" i="1"/>
  <c r="L100" i="1"/>
  <c r="M99" i="1"/>
  <c r="Q99" i="1" s="1"/>
  <c r="L99" i="1"/>
  <c r="K98" i="1"/>
  <c r="I98" i="1"/>
  <c r="G98" i="1"/>
  <c r="F98" i="1"/>
  <c r="E98" i="1"/>
  <c r="D98" i="1"/>
  <c r="M97" i="1"/>
  <c r="Q97" i="1" s="1"/>
  <c r="L97" i="1"/>
  <c r="M96" i="1"/>
  <c r="P96" i="1" s="1"/>
  <c r="L96" i="1"/>
  <c r="M95" i="1"/>
  <c r="P95" i="1" s="1"/>
  <c r="L95" i="1"/>
  <c r="K95" i="1"/>
  <c r="M94" i="1"/>
  <c r="P94" i="1" s="1"/>
  <c r="L94" i="1"/>
  <c r="K94" i="1"/>
  <c r="M93" i="1"/>
  <c r="P93" i="1" s="1"/>
  <c r="L93" i="1"/>
  <c r="M92" i="1"/>
  <c r="Q92" i="1" s="1"/>
  <c r="L92" i="1"/>
  <c r="P91" i="1"/>
  <c r="M91" i="1"/>
  <c r="Q91" i="1" s="1"/>
  <c r="L91" i="1"/>
  <c r="M90" i="1"/>
  <c r="L90" i="1"/>
  <c r="O89" i="1"/>
  <c r="N89" i="1"/>
  <c r="L89" i="1"/>
  <c r="K89" i="1"/>
  <c r="M89" i="1" s="1"/>
  <c r="M88" i="1"/>
  <c r="L88" i="1"/>
  <c r="L87" i="1"/>
  <c r="E87" i="1"/>
  <c r="M87" i="1" s="1"/>
  <c r="M86" i="1"/>
  <c r="Q86" i="1" s="1"/>
  <c r="L86" i="1"/>
  <c r="M84" i="1"/>
  <c r="L84" i="1"/>
  <c r="M83" i="1"/>
  <c r="P83" i="1" s="1"/>
  <c r="L83" i="1"/>
  <c r="E83" i="1"/>
  <c r="Q82" i="1"/>
  <c r="P82" i="1"/>
  <c r="M82" i="1"/>
  <c r="O82" i="1" s="1"/>
  <c r="L82" i="1"/>
  <c r="M81" i="1"/>
  <c r="L81" i="1"/>
  <c r="M80" i="1"/>
  <c r="L80" i="1"/>
  <c r="Q79" i="1"/>
  <c r="M79" i="1"/>
  <c r="P79" i="1" s="1"/>
  <c r="L79" i="1"/>
  <c r="M78" i="1"/>
  <c r="P78" i="1" s="1"/>
  <c r="L78" i="1"/>
  <c r="M77" i="1"/>
  <c r="L77" i="1"/>
  <c r="M76" i="1"/>
  <c r="P76" i="1" s="1"/>
  <c r="L76" i="1"/>
  <c r="M75" i="1"/>
  <c r="N75" i="1" s="1"/>
  <c r="L75" i="1"/>
  <c r="Q74" i="1"/>
  <c r="O74" i="1"/>
  <c r="N74" i="1"/>
  <c r="M74" i="1"/>
  <c r="P74" i="1" s="1"/>
  <c r="L74" i="1"/>
  <c r="P73" i="1"/>
  <c r="N73" i="1"/>
  <c r="M73" i="1"/>
  <c r="L73" i="1"/>
  <c r="Q72" i="1"/>
  <c r="P72" i="1"/>
  <c r="M72" i="1"/>
  <c r="O72" i="1" s="1"/>
  <c r="L72" i="1"/>
  <c r="L71" i="1"/>
  <c r="I71" i="1"/>
  <c r="M70" i="1"/>
  <c r="P70" i="1" s="1"/>
  <c r="L70" i="1"/>
  <c r="O70" i="1" s="1"/>
  <c r="Q69" i="1"/>
  <c r="M69" i="1"/>
  <c r="P69" i="1" s="1"/>
  <c r="L69" i="1"/>
  <c r="M68" i="1"/>
  <c r="P68" i="1" s="1"/>
  <c r="L68" i="1"/>
  <c r="M67" i="1"/>
  <c r="Q67" i="1" s="1"/>
  <c r="L67" i="1"/>
  <c r="M66" i="1"/>
  <c r="P66" i="1" s="1"/>
  <c r="L66" i="1"/>
  <c r="L65" i="1"/>
  <c r="I65" i="1"/>
  <c r="M65" i="1" s="1"/>
  <c r="O65" i="1" s="1"/>
  <c r="M64" i="1"/>
  <c r="P64" i="1" s="1"/>
  <c r="L64" i="1"/>
  <c r="Q63" i="1"/>
  <c r="M63" i="1"/>
  <c r="P63" i="1" s="1"/>
  <c r="L63" i="1"/>
  <c r="M62" i="1"/>
  <c r="P62" i="1" s="1"/>
  <c r="L62" i="1"/>
  <c r="L61" i="1" s="1"/>
  <c r="K61" i="1"/>
  <c r="J61" i="1"/>
  <c r="H61" i="1"/>
  <c r="G61" i="1"/>
  <c r="F61" i="1"/>
  <c r="E61" i="1"/>
  <c r="D61" i="1"/>
  <c r="M60" i="1"/>
  <c r="N60" i="1" s="1"/>
  <c r="L60" i="1"/>
  <c r="L59" i="1"/>
  <c r="K59" i="1"/>
  <c r="M59" i="1" s="1"/>
  <c r="Q59" i="1" s="1"/>
  <c r="M58" i="1"/>
  <c r="P58" i="1" s="1"/>
  <c r="L58" i="1"/>
  <c r="P57" i="1"/>
  <c r="O57" i="1"/>
  <c r="M57" i="1"/>
  <c r="Q57" i="1" s="1"/>
  <c r="L57" i="1"/>
  <c r="L56" i="1"/>
  <c r="G56" i="1"/>
  <c r="M56" i="1" s="1"/>
  <c r="M55" i="1"/>
  <c r="Q55" i="1" s="1"/>
  <c r="L55" i="1"/>
  <c r="L53" i="1" s="1"/>
  <c r="J53" i="1"/>
  <c r="I53" i="1"/>
  <c r="H53" i="1"/>
  <c r="F53" i="1"/>
  <c r="E53" i="1"/>
  <c r="D53" i="1"/>
  <c r="M52" i="1"/>
  <c r="Q52" i="1" s="1"/>
  <c r="L52" i="1"/>
  <c r="M51" i="1"/>
  <c r="P51" i="1" s="1"/>
  <c r="L51" i="1"/>
  <c r="L49" i="1" s="1"/>
  <c r="M50" i="1"/>
  <c r="L50" i="1"/>
  <c r="M49" i="1"/>
  <c r="K49" i="1"/>
  <c r="J49" i="1"/>
  <c r="I49" i="1"/>
  <c r="H49" i="1"/>
  <c r="G49" i="1"/>
  <c r="F49" i="1"/>
  <c r="E49" i="1"/>
  <c r="D49" i="1"/>
  <c r="O48" i="1"/>
  <c r="N48" i="1"/>
  <c r="M48" i="1"/>
  <c r="Q48" i="1" s="1"/>
  <c r="L48" i="1"/>
  <c r="P47" i="1"/>
  <c r="O47" i="1"/>
  <c r="M47" i="1"/>
  <c r="N47" i="1" s="1"/>
  <c r="L47" i="1"/>
  <c r="M46" i="1"/>
  <c r="L46" i="1"/>
  <c r="L45" i="1"/>
  <c r="E45" i="1"/>
  <c r="M45" i="1" s="1"/>
  <c r="P44" i="1"/>
  <c r="O44" i="1"/>
  <c r="M44" i="1"/>
  <c r="Q44" i="1" s="1"/>
  <c r="L44" i="1"/>
  <c r="N44" i="1" s="1"/>
  <c r="M43" i="1"/>
  <c r="L43" i="1"/>
  <c r="K43" i="1"/>
  <c r="L42" i="1"/>
  <c r="K42" i="1"/>
  <c r="M42" i="1" s="1"/>
  <c r="J41" i="1"/>
  <c r="I41" i="1"/>
  <c r="H41" i="1"/>
  <c r="G41" i="1"/>
  <c r="F41" i="1"/>
  <c r="D41" i="1"/>
  <c r="O39" i="1"/>
  <c r="N39" i="1"/>
  <c r="M39" i="1"/>
  <c r="Q39" i="1" s="1"/>
  <c r="L39" i="1"/>
  <c r="M38" i="1"/>
  <c r="M37" i="1"/>
  <c r="L37" i="1"/>
  <c r="M36" i="1"/>
  <c r="Q36" i="1" s="1"/>
  <c r="L36" i="1"/>
  <c r="M35" i="1"/>
  <c r="L35" i="1"/>
  <c r="M34" i="1"/>
  <c r="P34" i="1" s="1"/>
  <c r="L34" i="1"/>
  <c r="M33" i="1"/>
  <c r="Q33" i="1" s="1"/>
  <c r="L33" i="1"/>
  <c r="P32" i="1"/>
  <c r="M31" i="1"/>
  <c r="L31" i="1"/>
  <c r="M30" i="1"/>
  <c r="Q30" i="1" s="1"/>
  <c r="L30" i="1"/>
  <c r="M29" i="1"/>
  <c r="P29" i="1" s="1"/>
  <c r="L29" i="1"/>
  <c r="M28" i="1"/>
  <c r="Q28" i="1" s="1"/>
  <c r="L28" i="1"/>
  <c r="M27" i="1"/>
  <c r="L27" i="1"/>
  <c r="M25" i="1"/>
  <c r="Q25" i="1" s="1"/>
  <c r="L25" i="1"/>
  <c r="M24" i="1"/>
  <c r="P24" i="1" s="1"/>
  <c r="L24" i="1"/>
  <c r="L22" i="1" s="1"/>
  <c r="K22" i="1"/>
  <c r="J22" i="1"/>
  <c r="I22" i="1"/>
  <c r="H22" i="1"/>
  <c r="G22" i="1"/>
  <c r="F22" i="1"/>
  <c r="E22" i="1"/>
  <c r="D22" i="1"/>
  <c r="P21" i="1"/>
  <c r="M21" i="1"/>
  <c r="L21" i="1"/>
  <c r="P20" i="1"/>
  <c r="M20" i="1"/>
  <c r="Q20" i="1" s="1"/>
  <c r="L20" i="1"/>
  <c r="P19" i="1"/>
  <c r="M19" i="1"/>
  <c r="L19" i="1"/>
  <c r="P18" i="1"/>
  <c r="M18" i="1"/>
  <c r="Q18" i="1" s="1"/>
  <c r="L18" i="1"/>
  <c r="P17" i="1"/>
  <c r="M17" i="1"/>
  <c r="L17" i="1"/>
  <c r="P15" i="1"/>
  <c r="M15" i="1"/>
  <c r="Q15" i="1" s="1"/>
  <c r="L15" i="1"/>
  <c r="P14" i="1"/>
  <c r="M14" i="1"/>
  <c r="L14" i="1"/>
  <c r="K11" i="1"/>
  <c r="I10" i="1"/>
  <c r="G10" i="1"/>
  <c r="E10" i="1"/>
  <c r="K9" i="1"/>
  <c r="I9" i="1"/>
  <c r="I11" i="1" s="1"/>
  <c r="G9" i="1"/>
  <c r="G11" i="1" s="1"/>
  <c r="E9" i="1"/>
  <c r="K8" i="1"/>
  <c r="K10" i="1" s="1"/>
  <c r="P4" i="1"/>
  <c r="L107" i="1" l="1"/>
  <c r="O107" i="1" s="1"/>
  <c r="P110" i="1"/>
  <c r="O143" i="1"/>
  <c r="D132" i="1"/>
  <c r="D40" i="1" s="1"/>
  <c r="D152" i="1" s="1"/>
  <c r="N27" i="1"/>
  <c r="N28" i="1"/>
  <c r="N31" i="1"/>
  <c r="O33" i="1"/>
  <c r="O36" i="1"/>
  <c r="N66" i="1"/>
  <c r="O67" i="1"/>
  <c r="O77" i="1"/>
  <c r="N93" i="1"/>
  <c r="J98" i="1"/>
  <c r="P99" i="1"/>
  <c r="M8" i="1"/>
  <c r="Q8" i="1" s="1"/>
  <c r="N14" i="1"/>
  <c r="N15" i="1"/>
  <c r="N17" i="1"/>
  <c r="N18" i="1"/>
  <c r="N19" i="1"/>
  <c r="N20" i="1"/>
  <c r="N21" i="1"/>
  <c r="O25" i="1"/>
  <c r="P27" i="1"/>
  <c r="O28" i="1"/>
  <c r="O30" i="1"/>
  <c r="P33" i="1"/>
  <c r="O35" i="1"/>
  <c r="P36" i="1"/>
  <c r="P39" i="1"/>
  <c r="P48" i="1"/>
  <c r="O52" i="1"/>
  <c r="O55" i="1"/>
  <c r="Q60" i="1"/>
  <c r="P67" i="1"/>
  <c r="P77" i="1"/>
  <c r="N78" i="1"/>
  <c r="N79" i="1"/>
  <c r="N80" i="1"/>
  <c r="O84" i="1"/>
  <c r="N91" i="1"/>
  <c r="O97" i="1"/>
  <c r="P104" i="1"/>
  <c r="N149" i="1"/>
  <c r="N49" i="1"/>
  <c r="I61" i="1"/>
  <c r="I40" i="1" s="1"/>
  <c r="I152" i="1" s="1"/>
  <c r="N24" i="1"/>
  <c r="N25" i="1"/>
  <c r="N29" i="1"/>
  <c r="N30" i="1"/>
  <c r="L41" i="1"/>
  <c r="O46" i="1"/>
  <c r="P49" i="1"/>
  <c r="N51" i="1"/>
  <c r="N52" i="1"/>
  <c r="N55" i="1"/>
  <c r="P60" i="1"/>
  <c r="O64" i="1"/>
  <c r="P86" i="1"/>
  <c r="M9" i="1"/>
  <c r="M10" i="1"/>
  <c r="E11" i="1"/>
  <c r="M11" i="1" s="1"/>
  <c r="O15" i="1"/>
  <c r="O18" i="1"/>
  <c r="O20" i="1"/>
  <c r="P25" i="1"/>
  <c r="P28" i="1"/>
  <c r="P30" i="1"/>
  <c r="F40" i="1"/>
  <c r="J40" i="1"/>
  <c r="P52" i="1"/>
  <c r="P55" i="1"/>
  <c r="Q64" i="1"/>
  <c r="Q76" i="1"/>
  <c r="Q77" i="1"/>
  <c r="O79" i="1"/>
  <c r="N86" i="1"/>
  <c r="O91" i="1"/>
  <c r="P97" i="1"/>
  <c r="O99" i="1"/>
  <c r="N100" i="1"/>
  <c r="P101" i="1"/>
  <c r="P106" i="1"/>
  <c r="P107" i="1"/>
  <c r="N110" i="1"/>
  <c r="O124" i="1"/>
  <c r="M128" i="1"/>
  <c r="O134" i="1"/>
  <c r="O136" i="1"/>
  <c r="O139" i="1"/>
  <c r="O142" i="1"/>
  <c r="P143" i="1"/>
  <c r="O110" i="1"/>
  <c r="L112" i="1"/>
  <c r="N117" i="1"/>
  <c r="P124" i="1"/>
  <c r="L128" i="1"/>
  <c r="P134" i="1"/>
  <c r="P136" i="1"/>
  <c r="N139" i="1"/>
  <c r="N142" i="1"/>
  <c r="O147" i="1"/>
  <c r="P11" i="1"/>
  <c r="Q11" i="1"/>
  <c r="Q45" i="1"/>
  <c r="P45" i="1"/>
  <c r="O45" i="1"/>
  <c r="N45" i="1"/>
  <c r="N87" i="1"/>
  <c r="Q87" i="1"/>
  <c r="P87" i="1"/>
  <c r="O87" i="1"/>
  <c r="Q9" i="1"/>
  <c r="P9" i="1"/>
  <c r="Q10" i="1"/>
  <c r="P10" i="1"/>
  <c r="Q42" i="1"/>
  <c r="P42" i="1"/>
  <c r="O42" i="1"/>
  <c r="N42" i="1"/>
  <c r="M41" i="1"/>
  <c r="P56" i="1"/>
  <c r="Q56" i="1"/>
  <c r="M53" i="1"/>
  <c r="O56" i="1"/>
  <c r="N56" i="1"/>
  <c r="O14" i="1"/>
  <c r="O17" i="1"/>
  <c r="O19" i="1"/>
  <c r="O21" i="1"/>
  <c r="M22" i="1"/>
  <c r="O24" i="1"/>
  <c r="O27" i="1"/>
  <c r="O29" i="1"/>
  <c r="P31" i="1"/>
  <c r="N33" i="1"/>
  <c r="P35" i="1"/>
  <c r="N36" i="1"/>
  <c r="E41" i="1"/>
  <c r="P46" i="1"/>
  <c r="O49" i="1"/>
  <c r="O51" i="1"/>
  <c r="G53" i="1"/>
  <c r="G40" i="1" s="1"/>
  <c r="G152" i="1" s="1"/>
  <c r="K53" i="1"/>
  <c r="N57" i="1"/>
  <c r="Q58" i="1"/>
  <c r="O59" i="1"/>
  <c r="O63" i="1"/>
  <c r="O66" i="1"/>
  <c r="N67" i="1"/>
  <c r="Q68" i="1"/>
  <c r="N70" i="1"/>
  <c r="M71" i="1"/>
  <c r="Q75" i="1"/>
  <c r="O76" i="1"/>
  <c r="Q80" i="1"/>
  <c r="N82" i="1"/>
  <c r="Q84" i="1"/>
  <c r="O86" i="1"/>
  <c r="P89" i="1"/>
  <c r="Q89" i="1"/>
  <c r="N102" i="1"/>
  <c r="O106" i="1"/>
  <c r="N128" i="1"/>
  <c r="Q128" i="1"/>
  <c r="P128" i="1"/>
  <c r="N133" i="1"/>
  <c r="P133" i="1"/>
  <c r="O133" i="1"/>
  <c r="M132" i="1"/>
  <c r="N135" i="1"/>
  <c r="P135" i="1"/>
  <c r="O135" i="1"/>
  <c r="N137" i="1"/>
  <c r="P137" i="1"/>
  <c r="O137" i="1"/>
  <c r="N140" i="1"/>
  <c r="P140" i="1"/>
  <c r="O140" i="1"/>
  <c r="N151" i="1"/>
  <c r="P151" i="1"/>
  <c r="O151" i="1"/>
  <c r="F152" i="1"/>
  <c r="J152" i="1"/>
  <c r="Q35" i="1"/>
  <c r="Q46" i="1"/>
  <c r="P59" i="1"/>
  <c r="O88" i="1"/>
  <c r="P88" i="1"/>
  <c r="N90" i="1"/>
  <c r="O90" i="1"/>
  <c r="N113" i="1"/>
  <c r="P113" i="1"/>
  <c r="O113" i="1"/>
  <c r="M112" i="1"/>
  <c r="N118" i="1"/>
  <c r="P118" i="1"/>
  <c r="O118" i="1"/>
  <c r="P8" i="1"/>
  <c r="Q14" i="1"/>
  <c r="Q17" i="1"/>
  <c r="Q19" i="1"/>
  <c r="Q21" i="1"/>
  <c r="Q24" i="1"/>
  <c r="Q27" i="1"/>
  <c r="Q29" i="1"/>
  <c r="N34" i="1"/>
  <c r="N35" i="1"/>
  <c r="K41" i="1"/>
  <c r="K40" i="1" s="1"/>
  <c r="N46" i="1"/>
  <c r="Q49" i="1"/>
  <c r="Q51" i="1"/>
  <c r="N58" i="1"/>
  <c r="N65" i="1"/>
  <c r="N68" i="1"/>
  <c r="N69" i="1"/>
  <c r="O75" i="1"/>
  <c r="O80" i="1"/>
  <c r="N84" i="1"/>
  <c r="N88" i="1"/>
  <c r="P90" i="1"/>
  <c r="N92" i="1"/>
  <c r="O92" i="1"/>
  <c r="L98" i="1"/>
  <c r="O103" i="1"/>
  <c r="P103" i="1"/>
  <c r="O105" i="1"/>
  <c r="P105" i="1"/>
  <c r="N109" i="1"/>
  <c r="P109" i="1"/>
  <c r="O109" i="1"/>
  <c r="Q113" i="1"/>
  <c r="Q118" i="1"/>
  <c r="N122" i="1"/>
  <c r="M120" i="1"/>
  <c r="P122" i="1"/>
  <c r="O122" i="1"/>
  <c r="P127" i="1"/>
  <c r="N127" i="1"/>
  <c r="Q127" i="1"/>
  <c r="N129" i="1"/>
  <c r="H152" i="1"/>
  <c r="O58" i="1"/>
  <c r="N59" i="1"/>
  <c r="O60" i="1"/>
  <c r="M61" i="1"/>
  <c r="N63" i="1"/>
  <c r="N64" i="1"/>
  <c r="O68" i="1"/>
  <c r="O69" i="1"/>
  <c r="N72" i="1"/>
  <c r="P75" i="1"/>
  <c r="N76" i="1"/>
  <c r="N77" i="1"/>
  <c r="P80" i="1"/>
  <c r="N83" i="1"/>
  <c r="P84" i="1"/>
  <c r="Q88" i="1"/>
  <c r="Q90" i="1"/>
  <c r="P92" i="1"/>
  <c r="M98" i="1"/>
  <c r="O100" i="1"/>
  <c r="P100" i="1"/>
  <c r="N103" i="1"/>
  <c r="N105" i="1"/>
  <c r="Q109" i="1"/>
  <c r="Q122" i="1"/>
  <c r="O127" i="1"/>
  <c r="L146" i="1"/>
  <c r="O146" i="1" s="1"/>
  <c r="N97" i="1"/>
  <c r="N99" i="1"/>
  <c r="N101" i="1"/>
  <c r="N104" i="1"/>
  <c r="N107" i="1"/>
  <c r="Q108" i="1"/>
  <c r="E132" i="1"/>
  <c r="N138" i="1"/>
  <c r="P139" i="1"/>
  <c r="N141" i="1"/>
  <c r="P142" i="1"/>
  <c r="N143" i="1"/>
  <c r="P144" i="1"/>
  <c r="P147" i="1"/>
  <c r="Q142" i="1"/>
  <c r="Q144" i="1"/>
  <c r="Q147" i="1"/>
  <c r="Q61" i="1" l="1"/>
  <c r="N61" i="1"/>
  <c r="P61" i="1"/>
  <c r="O61" i="1"/>
  <c r="Q120" i="1"/>
  <c r="O120" i="1"/>
  <c r="N120" i="1"/>
  <c r="P120" i="1"/>
  <c r="N71" i="1"/>
  <c r="P71" i="1"/>
  <c r="L132" i="1"/>
  <c r="L40" i="1" s="1"/>
  <c r="L152" i="1" s="1"/>
  <c r="O98" i="1"/>
  <c r="P98" i="1"/>
  <c r="Q98" i="1"/>
  <c r="N98" i="1"/>
  <c r="N146" i="1"/>
  <c r="P112" i="1"/>
  <c r="N112" i="1"/>
  <c r="Q112" i="1"/>
  <c r="O112" i="1"/>
  <c r="E40" i="1"/>
  <c r="E152" i="1" s="1"/>
  <c r="P22" i="1"/>
  <c r="O22" i="1"/>
  <c r="N22" i="1"/>
  <c r="Q22" i="1"/>
  <c r="P41" i="1"/>
  <c r="O41" i="1"/>
  <c r="M40" i="1"/>
  <c r="N41" i="1"/>
  <c r="Q41" i="1"/>
  <c r="P132" i="1"/>
  <c r="Q132" i="1"/>
  <c r="N53" i="1"/>
  <c r="Q53" i="1"/>
  <c r="P53" i="1"/>
  <c r="O53" i="1"/>
  <c r="O132" i="1" l="1"/>
  <c r="N132" i="1"/>
  <c r="N40" i="1"/>
  <c r="Q40" i="1"/>
  <c r="P40" i="1"/>
  <c r="O40" i="1"/>
  <c r="M152" i="1"/>
  <c r="Q152" i="1" l="1"/>
  <c r="P152" i="1"/>
  <c r="O152" i="1"/>
  <c r="N15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Romualda Voitkevica</author>
  </authors>
  <commentList>
    <comment ref="E9" authorId="0" shapeId="0" xr:uid="{CB5720D9-E1CC-45D1-BB0D-64C782239652}">
      <text>
        <r>
          <rPr>
            <b/>
            <sz val="9"/>
            <color indexed="81"/>
            <rFont val="Tahoma"/>
            <family val="2"/>
            <charset val="186"/>
          </rPr>
          <t>Romualda Voitkevica:</t>
        </r>
        <r>
          <rPr>
            <sz val="9"/>
            <color indexed="81"/>
            <rFont val="Tahoma"/>
            <family val="2"/>
            <charset val="186"/>
          </rPr>
          <t xml:space="preserve">
No kopējā skaita izslēgti:
valdes loceklis A. Kuzņecovs; V.Mjagkihs - slimības lapa B; L.Potapova-dekreta atvalinājumā, J. Zaicevs-dekreta atvalinājumā</t>
        </r>
      </text>
    </comment>
    <comment ref="G9" authorId="0" shapeId="0" xr:uid="{F87E41D3-6782-4845-BE3D-7E8DFBAC73E3}">
      <text>
        <r>
          <rPr>
            <b/>
            <sz val="9"/>
            <color indexed="81"/>
            <rFont val="Tahoma"/>
            <family val="2"/>
            <charset val="186"/>
          </rPr>
          <t>Romualda Voitkevica:</t>
        </r>
        <r>
          <rPr>
            <sz val="9"/>
            <color indexed="81"/>
            <rFont val="Tahoma"/>
            <family val="2"/>
            <charset val="186"/>
          </rPr>
          <t xml:space="preserve">
No kopējā skaita izslēgti:
valdes loceklis Kuzņecovs/Oļenovs; V.Mjagkihs - slimības lapa B; L.Potapova-dekreta atvalinājumā, J. Zaicevs-dekreta atvalinājumā</t>
        </r>
      </text>
    </comment>
    <comment ref="I9" authorId="0" shapeId="0" xr:uid="{6015B8B9-456C-4CA6-A62D-F5965327CF4D}">
      <text>
        <r>
          <rPr>
            <b/>
            <sz val="9"/>
            <color indexed="81"/>
            <rFont val="Tahoma"/>
            <family val="2"/>
            <charset val="186"/>
          </rPr>
          <t>Romualda Voitkevica:</t>
        </r>
        <r>
          <rPr>
            <sz val="9"/>
            <color indexed="81"/>
            <rFont val="Tahoma"/>
            <family val="2"/>
            <charset val="186"/>
          </rPr>
          <t xml:space="preserve">
No kopējā skaita izslēgti:
valdes loceklis Oļenovs/Lukjančiks; V.Mjagkihs - slimības lapa B; L.Potapova-dekreta atvalinājumā, J. Zaicevs-dekreta atvalinājumā. Galvenā grāmatvede R.Cveka izgāja pensijā. </t>
        </r>
      </text>
    </comment>
    <comment ref="K9" authorId="0" shapeId="0" xr:uid="{52B3F1BB-D9F6-4CAD-BA19-E3E28F4334FE}">
      <text>
        <r>
          <rPr>
            <b/>
            <sz val="9"/>
            <color indexed="81"/>
            <rFont val="Tahoma"/>
            <family val="2"/>
            <charset val="186"/>
          </rPr>
          <t>Romualda Voitkevica:</t>
        </r>
        <r>
          <rPr>
            <sz val="9"/>
            <color indexed="81"/>
            <rFont val="Tahoma"/>
            <family val="2"/>
            <charset val="186"/>
          </rPr>
          <t xml:space="preserve">
No kopējā skaita izslēgti:
valdes loceklis Lukjančiks; L.Potapova-dekreta atvalinājumā</t>
        </r>
      </text>
    </comment>
    <comment ref="G11" authorId="0" shapeId="0" xr:uid="{A0991182-4B8B-448B-8DBD-580A51095B39}">
      <text>
        <r>
          <rPr>
            <b/>
            <sz val="9"/>
            <color indexed="81"/>
            <rFont val="Tahoma"/>
            <family val="2"/>
            <charset val="186"/>
          </rPr>
          <t>Romualda Voitkevica:</t>
        </r>
        <r>
          <rPr>
            <sz val="9"/>
            <color indexed="81"/>
            <rFont val="Tahoma"/>
            <family val="2"/>
            <charset val="186"/>
          </rPr>
          <t xml:space="preserve">
No aprēķina izslēgta darba samaksa, kompensācija par atvaļin., atlaišanas pabalsts A. Kuzņecovam. Bet iekļauta kompensācija par atvaļin., atlaišanas pabalsts galven. Grāmatvedei R.Cvekai, siltumtehnisko inženieriem R. Martinjakam un S. Grigorjevai, TAI vadītājam A. Blaževičam.</t>
        </r>
      </text>
    </comment>
    <comment ref="I11" authorId="0" shapeId="0" xr:uid="{87DD7F6A-15D3-47D0-BA9C-1E84C9E5A4DF}">
      <text>
        <r>
          <rPr>
            <b/>
            <sz val="9"/>
            <color indexed="81"/>
            <rFont val="Tahoma"/>
            <family val="2"/>
            <charset val="186"/>
          </rPr>
          <t>Romualda Voitkevica:</t>
        </r>
        <r>
          <rPr>
            <sz val="9"/>
            <color indexed="81"/>
            <rFont val="Tahoma"/>
            <family val="2"/>
            <charset val="186"/>
          </rPr>
          <t xml:space="preserve">
No aprēķinā izslēgtas valdes locekļu summas, bet iekļauts atlaišanas pabalsts datoru tehņiķim - 411 EUR, preses sekretāram - 823.</t>
        </r>
      </text>
    </comment>
    <comment ref="K39" authorId="0" shapeId="0" xr:uid="{BAD6D3C1-C0A2-4AC8-BB6C-FED21A5198B8}">
      <text>
        <r>
          <rPr>
            <b/>
            <sz val="9"/>
            <color indexed="81"/>
            <rFont val="Tahoma"/>
            <family val="2"/>
            <charset val="186"/>
          </rPr>
          <t>Romualda Voitkevica:</t>
        </r>
        <r>
          <rPr>
            <sz val="9"/>
            <color indexed="81"/>
            <rFont val="Tahoma"/>
            <family val="2"/>
            <charset val="186"/>
          </rPr>
          <t xml:space="preserve">
t.sk. 21,7 tūkst. EUR -Elektroenerģijas nodokļa parrēķins atgriešanai</t>
        </r>
      </text>
    </comment>
    <comment ref="E42" authorId="0" shapeId="0" xr:uid="{8DB006E3-D463-4F6D-87B2-73C78B146F07}">
      <text>
        <r>
          <rPr>
            <b/>
            <sz val="9"/>
            <color indexed="81"/>
            <rFont val="Tahoma"/>
            <family val="2"/>
            <charset val="186"/>
          </rPr>
          <t>Romualda Voitkevica:</t>
        </r>
        <r>
          <rPr>
            <sz val="9"/>
            <color indexed="81"/>
            <rFont val="Tahoma"/>
            <family val="2"/>
            <charset val="186"/>
          </rPr>
          <t xml:space="preserve">
t.sk pabalsts atvalinājumiem-5,1 tūkst. EUR</t>
        </r>
      </text>
    </comment>
    <comment ref="G42" authorId="0" shapeId="0" xr:uid="{D91ABDA0-17EC-4FF7-A22F-D806F884012C}">
      <text>
        <r>
          <rPr>
            <b/>
            <sz val="9"/>
            <color indexed="81"/>
            <rFont val="Tahoma"/>
            <family val="2"/>
            <charset val="186"/>
          </rPr>
          <t>Romualda Voitkevica:</t>
        </r>
        <r>
          <rPr>
            <sz val="9"/>
            <color indexed="81"/>
            <rFont val="Tahoma"/>
            <family val="2"/>
            <charset val="186"/>
          </rPr>
          <t xml:space="preserve">
t.sk pabalsts atvalinājumiem-24,3 tūkst. EUR</t>
        </r>
      </text>
    </comment>
    <comment ref="I42" authorId="0" shapeId="0" xr:uid="{066272FB-C9A7-4DDD-AB4B-86EA2139165B}">
      <text>
        <r>
          <rPr>
            <b/>
            <sz val="9"/>
            <color indexed="81"/>
            <rFont val="Tahoma"/>
            <family val="2"/>
            <charset val="186"/>
          </rPr>
          <t>Romualda Voitkevica:</t>
        </r>
        <r>
          <rPr>
            <sz val="9"/>
            <color indexed="81"/>
            <rFont val="Tahoma"/>
            <family val="2"/>
            <charset val="186"/>
          </rPr>
          <t xml:space="preserve">
t.sk pabalsts atvalinājumiem-38,6 tūkst. EUR</t>
        </r>
      </text>
    </comment>
    <comment ref="K42" authorId="0" shapeId="0" xr:uid="{198FB2F1-4840-487C-A4ED-0AACB4639AAA}">
      <text>
        <r>
          <rPr>
            <b/>
            <sz val="9"/>
            <color indexed="81"/>
            <rFont val="Tahoma"/>
            <family val="2"/>
            <charset val="186"/>
          </rPr>
          <t>Romualda Voitkevica:</t>
        </r>
        <r>
          <rPr>
            <sz val="9"/>
            <color indexed="81"/>
            <rFont val="Tahoma"/>
            <family val="2"/>
            <charset val="186"/>
          </rPr>
          <t xml:space="preserve">
t.sk. 3,9 tūkst EUR - atvalinājuma pabalsts</t>
        </r>
      </text>
    </comment>
    <comment ref="K43" authorId="0" shapeId="0" xr:uid="{0B5A5410-71AF-4118-8099-210E455BD8CC}">
      <text>
        <r>
          <rPr>
            <b/>
            <sz val="9"/>
            <color indexed="81"/>
            <rFont val="Tahoma"/>
            <family val="2"/>
            <charset val="186"/>
          </rPr>
          <t>Romualda Voitkevica:</t>
        </r>
        <r>
          <rPr>
            <sz val="9"/>
            <color indexed="81"/>
            <rFont val="Tahoma"/>
            <family val="2"/>
            <charset val="186"/>
          </rPr>
          <t xml:space="preserve">
naudas balva:
novembrī - 46900 EUR;
decembrī - 24450 EUR.</t>
        </r>
      </text>
    </comment>
    <comment ref="K58" authorId="0" shapeId="0" xr:uid="{C78CF2DB-A090-4B0E-ADAB-C61F1D6B2F36}">
      <text>
        <r>
          <rPr>
            <b/>
            <sz val="9"/>
            <color indexed="81"/>
            <rFont val="Tahoma"/>
            <family val="2"/>
            <charset val="186"/>
          </rPr>
          <t>Romualda Voitkevica:</t>
        </r>
        <r>
          <rPr>
            <sz val="9"/>
            <color indexed="81"/>
            <rFont val="Tahoma"/>
            <family val="2"/>
            <charset val="186"/>
          </rPr>
          <t xml:space="preserve">
SC2 un SC3 neparedzētie izdevumi: eļļas maiņa transformatoros sakarā ar eļļas kvalitātes pasliktināšanos - 1 tūkst.EUR</t>
        </r>
      </text>
    </comment>
    <comment ref="I65" authorId="0" shapeId="0" xr:uid="{510500F7-00E9-40A8-A352-8DDFE6122EB7}">
      <text>
        <r>
          <rPr>
            <b/>
            <sz val="9"/>
            <color indexed="81"/>
            <rFont val="Tahoma"/>
            <family val="2"/>
            <charset val="186"/>
          </rPr>
          <t>Romualda Voitkevica:</t>
        </r>
        <r>
          <rPr>
            <sz val="9"/>
            <color indexed="81"/>
            <rFont val="Tahoma"/>
            <family val="2"/>
            <charset val="186"/>
          </rPr>
          <t xml:space="preserve">
ISO pārbaude - 2200 EUR; nodokļu konsultācijas - 3700 EUR</t>
        </r>
      </text>
    </comment>
    <comment ref="K66" authorId="0" shapeId="0" xr:uid="{A8613D7E-300B-4761-A2EF-14984971310A}">
      <text>
        <r>
          <rPr>
            <b/>
            <sz val="9"/>
            <color indexed="81"/>
            <rFont val="Tahoma"/>
            <family val="2"/>
            <charset val="186"/>
          </rPr>
          <t>Romualda Voitkevica:</t>
        </r>
        <r>
          <rPr>
            <sz val="9"/>
            <color indexed="81"/>
            <rFont val="Tahoma"/>
            <family val="2"/>
            <charset val="186"/>
          </rPr>
          <t xml:space="preserve">
t.sk. 10,1 tūkst. EUR izdevumi zver. Advokatam pēc krimināllietas</t>
        </r>
      </text>
    </comment>
    <comment ref="I93" authorId="0" shapeId="0" xr:uid="{61D11EE7-FE31-46F1-838F-031658EB3742}">
      <text>
        <r>
          <rPr>
            <b/>
            <sz val="9"/>
            <color indexed="81"/>
            <rFont val="Tahoma"/>
            <family val="2"/>
            <charset val="186"/>
          </rPr>
          <t>Romualda Voitkevica:</t>
        </r>
        <r>
          <rPr>
            <sz val="9"/>
            <color indexed="81"/>
            <rFont val="Tahoma"/>
            <family val="2"/>
            <charset val="186"/>
          </rPr>
          <t xml:space="preserve">
Elektroprojekts sakarā ar LK7 koģenerācijas iekārtas pārvietošanu uz SC3</t>
        </r>
      </text>
    </comment>
    <comment ref="I151" authorId="0" shapeId="0" xr:uid="{366AEB80-BA35-4AF6-8909-4BFFC235271A}">
      <text>
        <r>
          <rPr>
            <b/>
            <sz val="9"/>
            <color indexed="81"/>
            <rFont val="Tahoma"/>
            <family val="2"/>
            <charset val="186"/>
          </rPr>
          <t>Romualda Voitkevica:</t>
        </r>
        <r>
          <rPr>
            <sz val="9"/>
            <color indexed="81"/>
            <rFont val="Tahoma"/>
            <family val="2"/>
            <charset val="186"/>
          </rPr>
          <t xml:space="preserve">
t.sk. 1,4 tūkst. Eur bēru pabalsts (Jurušs)</t>
        </r>
      </text>
    </comment>
  </commentList>
</comments>
</file>

<file path=xl/sharedStrings.xml><?xml version="1.0" encoding="utf-8"?>
<sst xmlns="http://schemas.openxmlformats.org/spreadsheetml/2006/main" count="506" uniqueCount="279">
  <si>
    <t>PAS "DAUGAVPILS SILTUMTĪKLI"</t>
  </si>
  <si>
    <t>Pielikums Nr.1</t>
  </si>
  <si>
    <t>2018. gada budžeta plāna  izpilde.</t>
  </si>
  <si>
    <t>tūkst.EUR</t>
  </si>
  <si>
    <t>N.p.k.</t>
  </si>
  <si>
    <t>Plāna rādītāji</t>
  </si>
  <si>
    <t>2017.gada attiecīgais periods</t>
  </si>
  <si>
    <t>2018. gada izpilde</t>
  </si>
  <si>
    <t>Periods kopā
 (gads)</t>
  </si>
  <si>
    <t xml:space="preserve">Novirze no  plāna
 </t>
  </si>
  <si>
    <t>I ceturksnis</t>
  </si>
  <si>
    <t>II cet.</t>
  </si>
  <si>
    <t>III cet.</t>
  </si>
  <si>
    <t>IV cet.</t>
  </si>
  <si>
    <t>EUR/MWh/   skaits</t>
  </si>
  <si>
    <t>%</t>
  </si>
  <si>
    <t>gads</t>
  </si>
  <si>
    <t>plāns</t>
  </si>
  <si>
    <t>izpilde</t>
  </si>
  <si>
    <t>Štata vienību skaits</t>
  </si>
  <si>
    <t>Faktiski strādājošo skaits kopā</t>
  </si>
  <si>
    <t>Administrācijas darbinieku skaits</t>
  </si>
  <si>
    <t>Vidējā darba alga</t>
  </si>
  <si>
    <t>Vidējā darba alga administrācijai*</t>
  </si>
  <si>
    <t>1.</t>
  </si>
  <si>
    <t>Nefinanšu rādītāji (paveiktais / plānotais darba apjoms): *</t>
  </si>
  <si>
    <t>No pamatdarbības / deleģēšanas līguma izpildes</t>
  </si>
  <si>
    <t>1.1.</t>
  </si>
  <si>
    <r>
      <t xml:space="preserve">Siltumenerģijas realizācija lietotājiem (MWh) </t>
    </r>
    <r>
      <rPr>
        <sz val="8"/>
        <rFont val="Times New Roman"/>
        <family val="1"/>
        <charset val="186"/>
      </rPr>
      <t>(izslēgta realizācija admin. un saimniec. uzņēmuma ēkām)</t>
    </r>
  </si>
  <si>
    <t>1.2.</t>
  </si>
  <si>
    <t>Elektroenerģijas pārdošana (MWh)</t>
  </si>
  <si>
    <t>Maksas pakalpojumi</t>
  </si>
  <si>
    <t>1.3.</t>
  </si>
  <si>
    <t>Siltumenerģijas sadale (skaits)</t>
  </si>
  <si>
    <t>1.4.</t>
  </si>
  <si>
    <t>Īpašuma noma (skaits)</t>
  </si>
  <si>
    <t>1.5.</t>
  </si>
  <si>
    <t>Citu siltumenerģijas ražotāju katlumāju apsaimniekošana (skaits)</t>
  </si>
  <si>
    <t>1.6.</t>
  </si>
  <si>
    <t>Izziņu izsniegšana (skaits)</t>
  </si>
  <si>
    <t>1.7.</t>
  </si>
  <si>
    <t>Dokumentu pavairošana (skaits)</t>
  </si>
  <si>
    <t>2.</t>
  </si>
  <si>
    <r>
      <t>IEŅĒMUMU kopsumma, t.sk.:</t>
    </r>
    <r>
      <rPr>
        <sz val="12"/>
        <rFont val="Times New Roman"/>
        <family val="1"/>
        <charset val="186"/>
      </rPr>
      <t xml:space="preserve"> **</t>
    </r>
  </si>
  <si>
    <t>2.1.</t>
  </si>
  <si>
    <t>No siltumenerģijas realizācijas</t>
  </si>
  <si>
    <t>No elektroenerģijas pārdošanas</t>
  </si>
  <si>
    <t>2.2.</t>
  </si>
  <si>
    <t>Siltumenerģijas sadale</t>
  </si>
  <si>
    <t xml:space="preserve">Īpašuma noma </t>
  </si>
  <si>
    <t xml:space="preserve">Citu siltumenerģijas ražotāju katlumāju apsaimniekošana </t>
  </si>
  <si>
    <t xml:space="preserve">Izziņu izsniegšana </t>
  </si>
  <si>
    <t xml:space="preserve">Dokumentu pavairošana </t>
  </si>
  <si>
    <t>2.3.</t>
  </si>
  <si>
    <t>Pārējie ieņēmumi</t>
  </si>
  <si>
    <t>Atgrieztie izdevumi</t>
  </si>
  <si>
    <t>Materiālu realizācija</t>
  </si>
  <si>
    <t>Soda nauda</t>
  </si>
  <si>
    <t>Ieņēmumi no uzkrājumiem par s/e</t>
  </si>
  <si>
    <t>Nākamo periodu ieņēmumi no ERAF</t>
  </si>
  <si>
    <t>Atliktais nodoklis</t>
  </si>
  <si>
    <t>Citi ieņēmumi</t>
  </si>
  <si>
    <t>3.</t>
  </si>
  <si>
    <r>
      <t xml:space="preserve">IZDEVUMU kopsumma, t.sk.: </t>
    </r>
    <r>
      <rPr>
        <sz val="12"/>
        <rFont val="Times New Roman"/>
        <family val="1"/>
        <charset val="186"/>
      </rPr>
      <t>***</t>
    </r>
  </si>
  <si>
    <t>3.1.</t>
  </si>
  <si>
    <t>Personāla izmaksas kopā, tai skaitā</t>
  </si>
  <si>
    <t>3.1.1.</t>
  </si>
  <si>
    <t>Darba alga</t>
  </si>
  <si>
    <t>3.1.2.</t>
  </si>
  <si>
    <t>Piemaksas un prēmijas</t>
  </si>
  <si>
    <t>3.1.3.</t>
  </si>
  <si>
    <t>Darba devēja valsts sociālās apdrošināšanas obligātās iemaksas</t>
  </si>
  <si>
    <t>3.1.4.</t>
  </si>
  <si>
    <t>Darba devēja izdevumi veselības, dzīvības un nelaimes gadījumu apdrošināšanai</t>
  </si>
  <si>
    <t>3.1.5.</t>
  </si>
  <si>
    <t>Valsts riska nodeva par darbiniekiem</t>
  </si>
  <si>
    <t>3.1.6.</t>
  </si>
  <si>
    <t>Mācību maksas kompensācija</t>
  </si>
  <si>
    <t>3.1.7.</t>
  </si>
  <si>
    <t>Periodiskā medicinska apskate</t>
  </si>
  <si>
    <t>3.2.</t>
  </si>
  <si>
    <t>Pakalpojumi</t>
  </si>
  <si>
    <t>3.2.1.</t>
  </si>
  <si>
    <t>Izdevumi par apkuri</t>
  </si>
  <si>
    <t>3.2.2.</t>
  </si>
  <si>
    <t>Izdevumi par ūdeni un kanalizāciju</t>
  </si>
  <si>
    <t>3.2.3.</t>
  </si>
  <si>
    <t>Izdevumi par elektronerģiju</t>
  </si>
  <si>
    <t>3.3.</t>
  </si>
  <si>
    <t>Materiāli un izejvielas kopā, tai skaitā:</t>
  </si>
  <si>
    <t>Energoresursi jeb enerģetiskie materiāli</t>
  </si>
  <si>
    <t>3.3.1.</t>
  </si>
  <si>
    <t>Kurināmais</t>
  </si>
  <si>
    <t>3.3.2.</t>
  </si>
  <si>
    <t>Iepirktā siltumenerģija</t>
  </si>
  <si>
    <t>3.3.3.</t>
  </si>
  <si>
    <t>Degviela</t>
  </si>
  <si>
    <t>3.3.4.</t>
  </si>
  <si>
    <t>Smērvielas</t>
  </si>
  <si>
    <t>3.3.5.</t>
  </si>
  <si>
    <t>Materiāli (t.sk. materiāli, rezerves daļas, mazvertīg. Inventārs, mazvērt. skaitītaji), ņemot vērā korekciju sakarā ar  materiālu pārdošanas no noliktavas.</t>
  </si>
  <si>
    <t>3.4.</t>
  </si>
  <si>
    <t xml:space="preserve">Tekošais remonts, administratīvo ēku un telpu uzturēšana </t>
  </si>
  <si>
    <t>3.5.</t>
  </si>
  <si>
    <t>Administratīvie pārējie izdevumi kopā, t.sk:</t>
  </si>
  <si>
    <t>3.5.1.</t>
  </si>
  <si>
    <t>Iekšējo kolektīvo pasākumu organizēšanas izdevumi</t>
  </si>
  <si>
    <t>3.5.2.</t>
  </si>
  <si>
    <t>Kursi, seminari</t>
  </si>
  <si>
    <t>3.5.3.</t>
  </si>
  <si>
    <t>Komandējumi un dienesta braucieni</t>
  </si>
  <si>
    <t>3.5.4.</t>
  </si>
  <si>
    <t>Gada pārskata un revīzijas izdevumi</t>
  </si>
  <si>
    <t>3.5.5.</t>
  </si>
  <si>
    <t>Juridiskie pakalpojumi</t>
  </si>
  <si>
    <t>3.5.6.</t>
  </si>
  <si>
    <t>Bankas pakalpojumi (kontu apkalp.)</t>
  </si>
  <si>
    <t>3.5.7.</t>
  </si>
  <si>
    <t>Informācijas sistēmu uzturēšanas izdevumi</t>
  </si>
  <si>
    <t>3.5.8.</t>
  </si>
  <si>
    <t>Apdrošināšanas izdevumi (pamatlīdzekļu)</t>
  </si>
  <si>
    <t>3.5.9.</t>
  </si>
  <si>
    <t>Iekārtas, inventāra un aparatūras remonts, tehniskā apkalpošana</t>
  </si>
  <si>
    <t>3.5.10.</t>
  </si>
  <si>
    <t>Zemes noma</t>
  </si>
  <si>
    <t>3.5.11.</t>
  </si>
  <si>
    <t>Nemateriālo ieguldījumu nolietojums</t>
  </si>
  <si>
    <t>3.5.12.</t>
  </si>
  <si>
    <t>Kredītu noformēšana</t>
  </si>
  <si>
    <t>3.5.13.</t>
  </si>
  <si>
    <t>Pasta, telefona un citi sakaru pakalpojumi</t>
  </si>
  <si>
    <t>3.5.14.</t>
  </si>
  <si>
    <t>Apsardze, atkritumu izvešana, dezinfekcija</t>
  </si>
  <si>
    <t>3.5.15.</t>
  </si>
  <si>
    <t>Ūgunsdrošības iekārtu uzraudzība un ugunsdz. aparātu pārbaude</t>
  </si>
  <si>
    <t>3.5.16.</t>
  </si>
  <si>
    <t>Masmediju pakalpojumi un reklāmas izdevumi</t>
  </si>
  <si>
    <t>3.5.17.</t>
  </si>
  <si>
    <t>Darba aizsardzības pakalpojumi</t>
  </si>
  <si>
    <t>3.5.18.</t>
  </si>
  <si>
    <t>Normatīvas likumdošanas dokumenti</t>
  </si>
  <si>
    <t>3.5.19.</t>
  </si>
  <si>
    <t xml:space="preserve">Siltumuzņēmumu asociācijas dalibnieka maksa </t>
  </si>
  <si>
    <t>3.5.20.</t>
  </si>
  <si>
    <t>Arhivēšana</t>
  </si>
  <si>
    <t>3.5.21.</t>
  </si>
  <si>
    <t>Brilles</t>
  </si>
  <si>
    <t>3.5.22.</t>
  </si>
  <si>
    <t>Daugavpils direktoru biedrības dalibnieka maksājumi</t>
  </si>
  <si>
    <t>3.5.23.</t>
  </si>
  <si>
    <t>Pārējie (Venden, pāklaju maiņa…..)</t>
  </si>
  <si>
    <t>3.6.</t>
  </si>
  <si>
    <t>Reprezentācijas izdevumi</t>
  </si>
  <si>
    <t>3.7.</t>
  </si>
  <si>
    <t>3.8.</t>
  </si>
  <si>
    <t>Elektro un datortehnikas apkalpošana</t>
  </si>
  <si>
    <t>3.9.</t>
  </si>
  <si>
    <t>Tiesāšanas izdevumi, valsts nodeva</t>
  </si>
  <si>
    <t>3.10.</t>
  </si>
  <si>
    <r>
      <t>Bankas pakalpojumi (</t>
    </r>
    <r>
      <rPr>
        <sz val="12"/>
        <rFont val="Times New Roman"/>
        <family val="1"/>
        <charset val="186"/>
      </rPr>
      <t>kontu apkalp., maksas par pārskaitījumu veikšanu, komisijas maksas par s/enerģ.rēķinu pieņemšanu</t>
    </r>
    <r>
      <rPr>
        <b/>
        <sz val="12"/>
        <rFont val="Times New Roman"/>
        <family val="1"/>
        <charset val="186"/>
      </rPr>
      <t>)</t>
    </r>
  </si>
  <si>
    <t>3.11.</t>
  </si>
  <si>
    <t>Klientu nodaļas datorprogrammas uzturēš. un apkalpoš.</t>
  </si>
  <si>
    <t>3.12.</t>
  </si>
  <si>
    <t>Pamatlīdzekļu un transporta apdrošināšana</t>
  </si>
  <si>
    <t>3.13.</t>
  </si>
  <si>
    <t>Projekti, tehniskie noteikumi</t>
  </si>
  <si>
    <t>3.14.</t>
  </si>
  <si>
    <t>Siltumefekta gāzu emisijas pārskata pārbaude</t>
  </si>
  <si>
    <t>3.15.</t>
  </si>
  <si>
    <t>Koģenerāciju staciju gada pārskatu revidenta pārbaude</t>
  </si>
  <si>
    <t>3.16.</t>
  </si>
  <si>
    <t>Īpašuma noformēšanas izdevumi (novertējums, aktu sastadīš.)</t>
  </si>
  <si>
    <t>3.17.</t>
  </si>
  <si>
    <t>Specapģērbi</t>
  </si>
  <si>
    <t>3.18.</t>
  </si>
  <si>
    <t>Ražošanas iekārtu uzturēšanas pakalpojumi kopā, t.sk.:</t>
  </si>
  <si>
    <t>3.18.1.</t>
  </si>
  <si>
    <t>Transportlīdzekļu uzturēšana un remonts</t>
  </si>
  <si>
    <t>3.18.2.</t>
  </si>
  <si>
    <t>3.18.3.</t>
  </si>
  <si>
    <t>Bīstamo iekārtu pārbaude</t>
  </si>
  <si>
    <t>3.18.4.</t>
  </si>
  <si>
    <t>Pazemes ūdens monitorings</t>
  </si>
  <si>
    <t>3.18.5.</t>
  </si>
  <si>
    <t>Dzelzceļa ekspluatācija</t>
  </si>
  <si>
    <t>3.18.6.</t>
  </si>
  <si>
    <t>Gaisa gāzu sastāva pārbaude</t>
  </si>
  <si>
    <t>3.18.7.</t>
  </si>
  <si>
    <t>Mērierīču kalibrēšana/verificēšana</t>
  </si>
  <si>
    <t>3.18.8.</t>
  </si>
  <si>
    <t>LK5 (Ruģeļi) koģenerācijas iekārtas tehniskā apkalpošana</t>
  </si>
  <si>
    <t>3.18.9.</t>
  </si>
  <si>
    <t>LK6 (Čerepova) koģenerācijas iekārtas tehniskā apkalpošana</t>
  </si>
  <si>
    <t>3.18.10.</t>
  </si>
  <si>
    <t>LK7 (Vecstropi) koģenerācijas iekārtas tehniskā apkalpošana</t>
  </si>
  <si>
    <t>3.18.11.</t>
  </si>
  <si>
    <t>LK8 (Stropi) k/m tehniskā apkalpošana</t>
  </si>
  <si>
    <t>3.18.12.</t>
  </si>
  <si>
    <t>LK10 (Fabrikas) k/m tehniskā apkalpošana</t>
  </si>
  <si>
    <t>3.18.13.</t>
  </si>
  <si>
    <t>SC2 piesārņotās teritorijas sanācijas veikšanas izpete</t>
  </si>
  <si>
    <t>3.19.</t>
  </si>
  <si>
    <t>Īre un noma kopā, t.sk.:</t>
  </si>
  <si>
    <t>3.19.1.</t>
  </si>
  <si>
    <t>Ēku, telpu īre un noma (k/m Cēsu,18.nov.321,Ģimnāzijas 3)</t>
  </si>
  <si>
    <t>3.19.2.</t>
  </si>
  <si>
    <t>3.19.3.</t>
  </si>
  <si>
    <t>Transportlīdzekļu noma</t>
  </si>
  <si>
    <t>3.19.4.</t>
  </si>
  <si>
    <t xml:space="preserve">Iekārtu un inv. noma, t.sk.: </t>
  </si>
  <si>
    <t>3.19.5.</t>
  </si>
  <si>
    <t>Dūmgāzu utilizācijas iekārtu (KTAN) noma, SC1 18.nov.2</t>
  </si>
  <si>
    <t>3.19.6.</t>
  </si>
  <si>
    <t>Koģeņerācijas stacijas noma, LK1 Cietoksnis</t>
  </si>
  <si>
    <t>3.19.7.</t>
  </si>
  <si>
    <t>Konteinertipa katlumājas noma Sporta ielā  un Krimuldas 41</t>
  </si>
  <si>
    <t>3.20.</t>
  </si>
  <si>
    <t>Nodokļu maksājumi kopā, t sk.:</t>
  </si>
  <si>
    <t>3.20.1.</t>
  </si>
  <si>
    <t>PVN</t>
  </si>
  <si>
    <t>3.20.2.</t>
  </si>
  <si>
    <t>NĪN</t>
  </si>
  <si>
    <t>3.20.3.</t>
  </si>
  <si>
    <t>IIN</t>
  </si>
  <si>
    <t>3.20.4.</t>
  </si>
  <si>
    <t>DRN</t>
  </si>
  <si>
    <t>3.20.5.</t>
  </si>
  <si>
    <t>UIN</t>
  </si>
  <si>
    <t>3.20.6.</t>
  </si>
  <si>
    <t>Pārejie nodokļi un nodevas</t>
  </si>
  <si>
    <t>3.21.</t>
  </si>
  <si>
    <t>Pamatlīdzekļu un citu ieguldījumu vērtības nolietojums</t>
  </si>
  <si>
    <t>3.22.</t>
  </si>
  <si>
    <t>Norēķini par prasībām kopā, t.sk.:</t>
  </si>
  <si>
    <t>3.22.1.</t>
  </si>
  <si>
    <t>Aizņēmumu un līzinga procentu maksājumi</t>
  </si>
  <si>
    <t>3.22.2.</t>
  </si>
  <si>
    <t>Samaksātās soda naudas un līgumsodi</t>
  </si>
  <si>
    <t>3.22.3.</t>
  </si>
  <si>
    <t>3.23.</t>
  </si>
  <si>
    <t>Pārējie saimnieciskās darbības izdevumi kopā,  t.sk.:</t>
  </si>
  <si>
    <t>3.23.1.</t>
  </si>
  <si>
    <t>3.23.2.</t>
  </si>
  <si>
    <t>Objektu fiziskā, tehniskā apsardze un videonovērošana</t>
  </si>
  <si>
    <t>3.23.3.</t>
  </si>
  <si>
    <t>Atkritumu izvešana</t>
  </si>
  <si>
    <t>3.23.4.</t>
  </si>
  <si>
    <t>Dezinfekcija</t>
  </si>
  <si>
    <t>3.23.5.</t>
  </si>
  <si>
    <t>Hidroloģiskie meteoroloģiskie pakalpojumi</t>
  </si>
  <si>
    <t>3.23.6.</t>
  </si>
  <si>
    <t>3.23.7.</t>
  </si>
  <si>
    <t>3.23.8.</t>
  </si>
  <si>
    <t>3.23.9.</t>
  </si>
  <si>
    <t>3.23.10.</t>
  </si>
  <si>
    <t>Valsts nodeva par SPRK regulēšanu</t>
  </si>
  <si>
    <t>3.23.11.</t>
  </si>
  <si>
    <t>3.23.12.</t>
  </si>
  <si>
    <t>Nākamo periodu izdevumi no pieslēguma</t>
  </si>
  <si>
    <t>3.23.13.</t>
  </si>
  <si>
    <t>Uzkrājumi nedroš. Debitoriem un un bezcerīgo parādu norakstīšana</t>
  </si>
  <si>
    <t>3.23.14.</t>
  </si>
  <si>
    <t>Ražošanas izdevumi, nesaistītie ar uzņemuma pamatdarbību (nomnieku elektroenerģijas, ūdens un kanalizācijas izdevumi, materiālu realizācija)</t>
  </si>
  <si>
    <t>3.23.15.</t>
  </si>
  <si>
    <t>Nederīgo skaitītāju atlikusī vērtība</t>
  </si>
  <si>
    <t>3.23.16.</t>
  </si>
  <si>
    <t>Par "A" vai "B" kategorijas piešķiršanu piesārņojošai darbībai</t>
  </si>
  <si>
    <t>3.23.17.</t>
  </si>
  <si>
    <t xml:space="preserve">D-pils pils. siltumtīklu izmēģinājumu veikšanu uz siltumnesēja aprēķināto temperatūru </t>
  </si>
  <si>
    <t>3.23.18.</t>
  </si>
  <si>
    <t>Zaudējumi no valūtas operācijas</t>
  </si>
  <si>
    <t>3.23.19.</t>
  </si>
  <si>
    <t xml:space="preserve">Pārējie </t>
  </si>
  <si>
    <t>4.</t>
  </si>
  <si>
    <t>REZULTĀTS:  P/Z pēc nodokļu nomaksas</t>
  </si>
  <si>
    <t>Valdes loceklis                                   J. Lukjančiks</t>
  </si>
  <si>
    <t>ŠIS DOKUMENTS IR ELEKTRONISKI PARAKSTĪTS AR DROŠU ELEKTRONISKO PARAKSTU UN SATUR LAIKA ZĪMOGU</t>
  </si>
  <si>
    <t xml:space="preserve">R. Voitkeviča, 65407539, </t>
  </si>
  <si>
    <t>romualda.voitkevica@dsiltumtikli.lv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</si>
</sst>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32" x14ac:knownFonts="1">
    <font>
      <sz val="10"/>
      <name val="Arial"/>
    </font>
    <font>
      <b/>
      <sz val="12"/>
      <name val="Times New Roman"/>
      <family val="1"/>
      <charset val="186"/>
    </font>
    <font>
      <b/>
      <sz val="14"/>
      <name val="Times New Roman"/>
      <family val="1"/>
      <charset val="186"/>
    </font>
    <font>
      <b/>
      <sz val="16"/>
      <name val="Times New Roman"/>
      <family val="1"/>
      <charset val="186"/>
    </font>
    <font>
      <sz val="10"/>
      <name val="Arial"/>
      <family val="2"/>
      <charset val="186"/>
    </font>
    <font>
      <sz val="12"/>
      <name val="Times New Roman"/>
      <family val="1"/>
      <charset val="186"/>
    </font>
    <font>
      <sz val="10"/>
      <name val="Times New Roman"/>
      <family val="1"/>
      <charset val="186"/>
    </font>
    <font>
      <i/>
      <sz val="12"/>
      <name val="Times New Roman"/>
      <family val="1"/>
      <charset val="186"/>
    </font>
    <font>
      <sz val="8"/>
      <name val="Times New Roman"/>
      <family val="1"/>
      <charset val="186"/>
    </font>
    <font>
      <sz val="12"/>
      <color theme="0" tint="-0.249977111117893"/>
      <name val="Times New Roman"/>
      <family val="1"/>
      <charset val="186"/>
    </font>
    <font>
      <sz val="12"/>
      <color theme="0" tint="-0.249977111117893"/>
      <name val="Times New Roman"/>
      <family val="1"/>
      <charset val="204"/>
    </font>
    <font>
      <sz val="12"/>
      <name val="Times New Roman"/>
      <family val="1"/>
      <charset val="204"/>
    </font>
    <font>
      <b/>
      <sz val="10"/>
      <name val="Arial"/>
      <family val="2"/>
      <charset val="186"/>
    </font>
    <font>
      <sz val="10"/>
      <color theme="0" tint="-0.499984740745262"/>
      <name val="Arial"/>
      <family val="2"/>
      <charset val="204"/>
    </font>
    <font>
      <sz val="10"/>
      <color theme="0" tint="-0.34998626667073579"/>
      <name val="Arial"/>
      <family val="2"/>
      <charset val="186"/>
    </font>
    <font>
      <sz val="10"/>
      <color theme="0" tint="-0.249977111117893"/>
      <name val="Arial"/>
      <family val="2"/>
      <charset val="186"/>
    </font>
    <font>
      <sz val="12"/>
      <color theme="0" tint="-0.34998626667073579"/>
      <name val="Times New Roman"/>
      <family val="1"/>
      <charset val="186"/>
    </font>
    <font>
      <sz val="12"/>
      <color theme="0" tint="-0.499984740745262"/>
      <name val="Times New Roman"/>
      <family val="1"/>
      <charset val="204"/>
    </font>
    <font>
      <sz val="12"/>
      <color theme="0" tint="-0.34998626667073579"/>
      <name val="Times New Roman"/>
      <family val="1"/>
      <charset val="204"/>
    </font>
    <font>
      <b/>
      <sz val="12"/>
      <name val="Times New Roman"/>
      <family val="1"/>
      <charset val="204"/>
    </font>
    <font>
      <b/>
      <sz val="10"/>
      <name val="Times New Roman"/>
      <family val="1"/>
      <charset val="186"/>
    </font>
    <font>
      <sz val="12"/>
      <name val="Arial Cyr"/>
      <charset val="204"/>
    </font>
    <font>
      <sz val="11"/>
      <name val="Times New Roman"/>
      <family val="1"/>
      <charset val="186"/>
    </font>
    <font>
      <sz val="10"/>
      <color theme="0" tint="-0.499984740745262"/>
      <name val="Arial"/>
      <family val="2"/>
      <charset val="186"/>
    </font>
    <font>
      <sz val="10"/>
      <color theme="0" tint="-0.249977111117893"/>
      <name val="Arial"/>
      <family val="2"/>
      <charset val="204"/>
    </font>
    <font>
      <sz val="14"/>
      <name val="Times New Roman"/>
      <family val="1"/>
      <charset val="186"/>
    </font>
    <font>
      <sz val="11"/>
      <color theme="1"/>
      <name val="Calibri"/>
      <family val="2"/>
      <charset val="186"/>
      <scheme val="minor"/>
    </font>
    <font>
      <sz val="9"/>
      <color indexed="8"/>
      <name val="Times New Roman"/>
      <family val="1"/>
      <charset val="186"/>
    </font>
    <font>
      <u/>
      <sz val="11"/>
      <color theme="10"/>
      <name val="Calibri"/>
      <family val="2"/>
      <scheme val="minor"/>
    </font>
    <font>
      <sz val="12"/>
      <name val="Times New Roman"/>
      <family val="1"/>
    </font>
    <font>
      <b/>
      <sz val="9"/>
      <color indexed="81"/>
      <name val="Tahoma"/>
      <family val="2"/>
      <charset val="186"/>
    </font>
    <font>
      <sz val="9"/>
      <color indexed="81"/>
      <name val="Tahoma"/>
      <family val="2"/>
      <charset val="186"/>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hair">
        <color indexed="64"/>
      </left>
      <right/>
      <top style="hair">
        <color indexed="64"/>
      </top>
      <bottom style="thin">
        <color indexed="64"/>
      </bottom>
      <diagonal/>
    </border>
  </borders>
  <cellStyleXfs count="5">
    <xf numFmtId="0" fontId="0" fillId="0" borderId="0"/>
    <xf numFmtId="0" fontId="28" fillId="0" borderId="0" applyNumberFormat="0" applyFill="0" applyBorder="0" applyAlignment="0" applyProtection="0"/>
    <xf numFmtId="9" fontId="4" fillId="0" borderId="0" applyFont="0" applyFill="0" applyBorder="0" applyAlignment="0" applyProtection="0"/>
    <xf numFmtId="0" fontId="21" fillId="0" borderId="0"/>
    <xf numFmtId="0" fontId="26" fillId="0" borderId="0"/>
  </cellStyleXfs>
  <cellXfs count="142">
    <xf numFmtId="0" fontId="0" fillId="0" borderId="0" xfId="0"/>
    <xf numFmtId="0" fontId="1" fillId="0" borderId="0" xfId="0" applyFont="1"/>
    <xf numFmtId="0" fontId="0" fillId="0" borderId="0" xfId="0" applyAlignment="1">
      <alignment wrapText="1"/>
    </xf>
    <xf numFmtId="0" fontId="2" fillId="0" borderId="0" xfId="0" applyFont="1" applyAlignment="1">
      <alignment horizontal="right" wrapText="1"/>
    </xf>
    <xf numFmtId="0" fontId="3" fillId="0" borderId="0" xfId="0" applyFont="1" applyAlignment="1">
      <alignment horizontal="center" vertical="top" wrapText="1"/>
    </xf>
    <xf numFmtId="0" fontId="1" fillId="0" borderId="1" xfId="0" applyFont="1" applyBorder="1" applyAlignment="1">
      <alignment horizontal="right" vertical="top" wrapText="1"/>
    </xf>
    <xf numFmtId="0" fontId="1" fillId="0" borderId="0" xfId="0" applyFont="1" applyAlignment="1">
      <alignment horizontal="right" vertical="top" wrapText="1"/>
    </xf>
    <xf numFmtId="0" fontId="5" fillId="0" borderId="3" xfId="0" applyFont="1" applyBorder="1" applyAlignment="1">
      <alignment horizontal="center" wrapText="1"/>
    </xf>
    <xf numFmtId="0" fontId="6" fillId="0" borderId="3" xfId="0" applyFont="1" applyBorder="1" applyAlignment="1">
      <alignment horizontal="center"/>
    </xf>
    <xf numFmtId="0" fontId="0" fillId="0" borderId="3" xfId="0" applyBorder="1"/>
    <xf numFmtId="0" fontId="7" fillId="0" borderId="3" xfId="0" applyFont="1" applyBorder="1" applyAlignment="1">
      <alignment horizontal="center" wrapText="1"/>
    </xf>
    <xf numFmtId="0" fontId="6" fillId="0" borderId="2" xfId="0" applyFont="1" applyBorder="1" applyAlignment="1">
      <alignment horizontal="center" wrapText="1"/>
    </xf>
    <xf numFmtId="0" fontId="6" fillId="0" borderId="2" xfId="0" applyFont="1" applyBorder="1" applyAlignment="1">
      <alignment horizontal="center"/>
    </xf>
    <xf numFmtId="0" fontId="8" fillId="3" borderId="2" xfId="0" applyFont="1" applyFill="1" applyBorder="1" applyAlignment="1">
      <alignment horizontal="center"/>
    </xf>
    <xf numFmtId="0" fontId="6" fillId="0" borderId="0" xfId="0" applyFont="1" applyAlignment="1">
      <alignment horizontal="center"/>
    </xf>
    <xf numFmtId="0" fontId="6" fillId="0" borderId="8" xfId="0" applyFont="1" applyBorder="1" applyAlignment="1">
      <alignment horizontal="center"/>
    </xf>
    <xf numFmtId="0" fontId="6" fillId="0" borderId="0" xfId="0" applyFont="1"/>
    <xf numFmtId="0" fontId="6" fillId="0" borderId="3" xfId="0" applyFont="1" applyBorder="1"/>
    <xf numFmtId="0" fontId="6" fillId="0" borderId="7" xfId="0" applyFont="1" applyBorder="1"/>
    <xf numFmtId="0" fontId="1" fillId="0" borderId="3" xfId="0" applyFont="1" applyBorder="1" applyAlignment="1">
      <alignment wrapText="1"/>
    </xf>
    <xf numFmtId="0" fontId="5" fillId="0" borderId="11" xfId="0" applyFont="1" applyBorder="1" applyAlignment="1">
      <alignment horizontal="center" wrapText="1"/>
    </xf>
    <xf numFmtId="0" fontId="5" fillId="4" borderId="3" xfId="0" applyFont="1" applyFill="1" applyBorder="1" applyAlignment="1">
      <alignment horizontal="center"/>
    </xf>
    <xf numFmtId="0" fontId="9" fillId="5" borderId="3" xfId="0" applyFont="1" applyFill="1" applyBorder="1" applyAlignment="1">
      <alignment horizontal="center"/>
    </xf>
    <xf numFmtId="0" fontId="5" fillId="5" borderId="3" xfId="0" applyFont="1" applyFill="1" applyBorder="1" applyAlignment="1">
      <alignment horizontal="center"/>
    </xf>
    <xf numFmtId="0" fontId="10" fillId="5" borderId="3" xfId="0" applyFont="1" applyFill="1" applyBorder="1" applyAlignment="1">
      <alignment horizontal="center"/>
    </xf>
    <xf numFmtId="0" fontId="5" fillId="0" borderId="3" xfId="0" applyFont="1" applyBorder="1"/>
    <xf numFmtId="0" fontId="5" fillId="0" borderId="7" xfId="0" applyFont="1" applyBorder="1"/>
    <xf numFmtId="0" fontId="5" fillId="0" borderId="3" xfId="0" applyFont="1" applyBorder="1" applyAlignment="1">
      <alignment wrapText="1"/>
    </xf>
    <xf numFmtId="0" fontId="11" fillId="5" borderId="3" xfId="0" applyFont="1" applyFill="1" applyBorder="1" applyAlignment="1">
      <alignment horizontal="center"/>
    </xf>
    <xf numFmtId="1" fontId="5" fillId="5" borderId="3" xfId="0" applyNumberFormat="1" applyFont="1" applyFill="1" applyBorder="1" applyAlignment="1">
      <alignment horizontal="center"/>
    </xf>
    <xf numFmtId="1" fontId="11" fillId="5" borderId="3" xfId="0" applyNumberFormat="1" applyFont="1" applyFill="1" applyBorder="1" applyAlignment="1">
      <alignment horizontal="center"/>
    </xf>
    <xf numFmtId="164" fontId="6" fillId="0" borderId="3" xfId="0" applyNumberFormat="1" applyFont="1" applyBorder="1"/>
    <xf numFmtId="9" fontId="6" fillId="0" borderId="7" xfId="2" applyFont="1" applyBorder="1"/>
    <xf numFmtId="0" fontId="12" fillId="0" borderId="3" xfId="0" applyFont="1" applyBorder="1"/>
    <xf numFmtId="0" fontId="1" fillId="0" borderId="6" xfId="0" applyFont="1" applyBorder="1" applyAlignment="1">
      <alignment wrapText="1"/>
    </xf>
    <xf numFmtId="0" fontId="4" fillId="0" borderId="3" xfId="0" applyFont="1" applyBorder="1"/>
    <xf numFmtId="0" fontId="13" fillId="5" borderId="3" xfId="0" applyFont="1" applyFill="1" applyBorder="1"/>
    <xf numFmtId="0" fontId="0" fillId="5" borderId="3" xfId="0" applyFill="1" applyBorder="1"/>
    <xf numFmtId="0" fontId="14" fillId="5" borderId="3" xfId="0" applyFont="1" applyFill="1" applyBorder="1"/>
    <xf numFmtId="0" fontId="15" fillId="5" borderId="3" xfId="0" applyFont="1" applyFill="1" applyBorder="1"/>
    <xf numFmtId="0" fontId="4" fillId="2" borderId="3" xfId="0" applyFont="1" applyFill="1" applyBorder="1"/>
    <xf numFmtId="0" fontId="4" fillId="0" borderId="8" xfId="0" applyFont="1" applyBorder="1"/>
    <xf numFmtId="0" fontId="15" fillId="5" borderId="8" xfId="0" applyFont="1" applyFill="1" applyBorder="1"/>
    <xf numFmtId="0" fontId="4" fillId="2" borderId="8" xfId="0" applyFont="1" applyFill="1" applyBorder="1"/>
    <xf numFmtId="0" fontId="6" fillId="0" borderId="8" xfId="0" applyFont="1" applyBorder="1"/>
    <xf numFmtId="0" fontId="11" fillId="5" borderId="3" xfId="0" applyFont="1" applyFill="1" applyBorder="1"/>
    <xf numFmtId="0" fontId="5" fillId="5" borderId="3" xfId="0" applyFont="1" applyFill="1" applyBorder="1"/>
    <xf numFmtId="0" fontId="5" fillId="2" borderId="3" xfId="0" applyFont="1" applyFill="1" applyBorder="1"/>
    <xf numFmtId="9" fontId="6" fillId="0" borderId="3" xfId="2" applyFont="1" applyBorder="1"/>
    <xf numFmtId="1" fontId="6" fillId="0" borderId="3" xfId="0" applyNumberFormat="1" applyFont="1" applyBorder="1"/>
    <xf numFmtId="0" fontId="16" fillId="0" borderId="3" xfId="0" applyFont="1" applyBorder="1"/>
    <xf numFmtId="0" fontId="17" fillId="5" borderId="3" xfId="0" applyFont="1" applyFill="1" applyBorder="1"/>
    <xf numFmtId="0" fontId="18" fillId="5" borderId="3" xfId="0" applyFont="1" applyFill="1" applyBorder="1"/>
    <xf numFmtId="0" fontId="16" fillId="2" borderId="3" xfId="0" applyFont="1" applyFill="1" applyBorder="1"/>
    <xf numFmtId="0" fontId="5" fillId="0" borderId="3" xfId="0" applyFont="1" applyBorder="1" applyAlignment="1">
      <alignment horizontal="left" wrapText="1"/>
    </xf>
    <xf numFmtId="1" fontId="5" fillId="0" borderId="3" xfId="0" applyNumberFormat="1" applyFont="1" applyBorder="1"/>
    <xf numFmtId="1" fontId="11" fillId="5" borderId="3" xfId="0" applyNumberFormat="1" applyFont="1" applyFill="1" applyBorder="1"/>
    <xf numFmtId="1" fontId="5" fillId="2" borderId="3" xfId="0" applyNumberFormat="1" applyFont="1" applyFill="1" applyBorder="1"/>
    <xf numFmtId="0" fontId="12" fillId="5" borderId="3" xfId="0" applyFont="1" applyFill="1" applyBorder="1"/>
    <xf numFmtId="0" fontId="1" fillId="5" borderId="3" xfId="0" applyFont="1" applyFill="1" applyBorder="1" applyAlignment="1">
      <alignment wrapText="1"/>
    </xf>
    <xf numFmtId="164" fontId="1" fillId="5" borderId="3" xfId="0" applyNumberFormat="1" applyFont="1" applyFill="1" applyBorder="1" applyAlignment="1">
      <alignment wrapText="1"/>
    </xf>
    <xf numFmtId="164" fontId="19" fillId="5" borderId="3" xfId="0" applyNumberFormat="1" applyFont="1" applyFill="1" applyBorder="1" applyAlignment="1">
      <alignment wrapText="1"/>
    </xf>
    <xf numFmtId="164" fontId="20" fillId="5" borderId="3" xfId="0" applyNumberFormat="1" applyFont="1" applyFill="1" applyBorder="1"/>
    <xf numFmtId="9" fontId="20" fillId="5" borderId="3" xfId="2" applyFont="1" applyFill="1" applyBorder="1"/>
    <xf numFmtId="0" fontId="10" fillId="5" borderId="3" xfId="0" applyFont="1" applyFill="1" applyBorder="1"/>
    <xf numFmtId="0" fontId="5" fillId="0" borderId="3" xfId="0" applyFont="1" applyBorder="1" applyAlignment="1">
      <alignment horizontal="right" wrapText="1"/>
    </xf>
    <xf numFmtId="164" fontId="5" fillId="0" borderId="3" xfId="0" applyNumberFormat="1" applyFont="1" applyBorder="1"/>
    <xf numFmtId="164" fontId="11" fillId="5" borderId="3" xfId="0" applyNumberFormat="1" applyFont="1" applyFill="1" applyBorder="1"/>
    <xf numFmtId="164" fontId="5" fillId="2" borderId="3" xfId="0" applyNumberFormat="1" applyFont="1" applyFill="1" applyBorder="1"/>
    <xf numFmtId="164" fontId="5" fillId="5" borderId="3" xfId="0" applyNumberFormat="1" applyFont="1" applyFill="1" applyBorder="1"/>
    <xf numFmtId="165" fontId="5" fillId="2" borderId="3" xfId="0" applyNumberFormat="1" applyFont="1" applyFill="1" applyBorder="1"/>
    <xf numFmtId="164" fontId="1" fillId="0" borderId="8" xfId="0" applyNumberFormat="1" applyFont="1" applyBorder="1" applyAlignment="1">
      <alignment wrapText="1"/>
    </xf>
    <xf numFmtId="0" fontId="1" fillId="0" borderId="8" xfId="0" applyFont="1" applyBorder="1" applyAlignment="1">
      <alignment wrapText="1"/>
    </xf>
    <xf numFmtId="164" fontId="19" fillId="5" borderId="8" xfId="0" applyNumberFormat="1" applyFont="1" applyFill="1" applyBorder="1" applyAlignment="1">
      <alignment wrapText="1"/>
    </xf>
    <xf numFmtId="0" fontId="1" fillId="5" borderId="8" xfId="0" applyFont="1" applyFill="1" applyBorder="1" applyAlignment="1">
      <alignment wrapText="1"/>
    </xf>
    <xf numFmtId="0" fontId="19" fillId="5" borderId="8" xfId="0" applyFont="1" applyFill="1" applyBorder="1" applyAlignment="1">
      <alignment wrapText="1"/>
    </xf>
    <xf numFmtId="0" fontId="1" fillId="2" borderId="8" xfId="0" applyFont="1" applyFill="1" applyBorder="1" applyAlignment="1">
      <alignment wrapText="1"/>
    </xf>
    <xf numFmtId="164" fontId="1" fillId="2" borderId="8" xfId="0" applyNumberFormat="1" applyFont="1" applyFill="1" applyBorder="1" applyAlignment="1">
      <alignment wrapText="1"/>
    </xf>
    <xf numFmtId="0" fontId="20" fillId="0" borderId="3" xfId="0" applyFont="1" applyBorder="1"/>
    <xf numFmtId="9" fontId="20" fillId="0" borderId="3" xfId="2" applyFont="1" applyBorder="1"/>
    <xf numFmtId="0" fontId="4" fillId="0" borderId="3" xfId="0" applyFont="1" applyBorder="1" applyAlignment="1">
      <alignment horizontal="right"/>
    </xf>
    <xf numFmtId="0" fontId="5" fillId="0" borderId="3" xfId="0" applyFont="1" applyBorder="1" applyAlignment="1">
      <alignment horizontal="right" vertical="center" wrapText="1"/>
    </xf>
    <xf numFmtId="0" fontId="1" fillId="0" borderId="3" xfId="0" applyFont="1" applyBorder="1" applyAlignment="1">
      <alignment vertical="center" wrapText="1"/>
    </xf>
    <xf numFmtId="164" fontId="1" fillId="5" borderId="8" xfId="0" applyNumberFormat="1" applyFont="1" applyFill="1" applyBorder="1" applyAlignment="1">
      <alignment wrapText="1"/>
    </xf>
    <xf numFmtId="2" fontId="5" fillId="0" borderId="3" xfId="0" applyNumberFormat="1" applyFont="1" applyBorder="1"/>
    <xf numFmtId="16" fontId="12" fillId="0" borderId="3" xfId="0" applyNumberFormat="1" applyFont="1" applyBorder="1"/>
    <xf numFmtId="0" fontId="19" fillId="5" borderId="3" xfId="0" applyFont="1" applyFill="1" applyBorder="1" applyAlignment="1">
      <alignment vertical="center" wrapText="1"/>
    </xf>
    <xf numFmtId="0" fontId="1" fillId="5" borderId="3" xfId="0" applyFont="1" applyFill="1" applyBorder="1" applyAlignment="1">
      <alignment vertical="center" wrapText="1"/>
    </xf>
    <xf numFmtId="0" fontId="1" fillId="2" borderId="3" xfId="0" applyFont="1" applyFill="1" applyBorder="1" applyAlignment="1">
      <alignment vertical="center" wrapText="1"/>
    </xf>
    <xf numFmtId="164" fontId="1" fillId="2" borderId="3" xfId="0" applyNumberFormat="1" applyFont="1" applyFill="1" applyBorder="1" applyAlignment="1">
      <alignment vertical="center" wrapText="1"/>
    </xf>
    <xf numFmtId="0" fontId="7" fillId="0" borderId="3" xfId="3" applyFont="1" applyBorder="1"/>
    <xf numFmtId="0" fontId="5" fillId="0" borderId="12" xfId="3" applyFont="1" applyBorder="1" applyAlignment="1">
      <alignment horizontal="right"/>
    </xf>
    <xf numFmtId="0" fontId="22" fillId="0" borderId="3" xfId="0" applyFont="1" applyBorder="1" applyAlignment="1">
      <alignment horizontal="right" vertical="center" wrapText="1"/>
    </xf>
    <xf numFmtId="0" fontId="1" fillId="0" borderId="3" xfId="0" applyFont="1" applyBorder="1" applyAlignment="1">
      <alignment horizontal="left" vertical="center" wrapText="1"/>
    </xf>
    <xf numFmtId="164" fontId="1" fillId="0" borderId="3" xfId="0" applyNumberFormat="1" applyFont="1" applyBorder="1"/>
    <xf numFmtId="0" fontId="1" fillId="0" borderId="3" xfId="0" applyFont="1" applyBorder="1"/>
    <xf numFmtId="164" fontId="1" fillId="5" borderId="3" xfId="0" applyNumberFormat="1" applyFont="1" applyFill="1" applyBorder="1"/>
    <xf numFmtId="0" fontId="1" fillId="5" borderId="3" xfId="0" applyFont="1" applyFill="1" applyBorder="1"/>
    <xf numFmtId="0" fontId="1" fillId="2" borderId="3" xfId="0" applyFont="1" applyFill="1" applyBorder="1"/>
    <xf numFmtId="164" fontId="1" fillId="2" borderId="3" xfId="0" applyNumberFormat="1" applyFont="1" applyFill="1" applyBorder="1"/>
    <xf numFmtId="2" fontId="5" fillId="2" borderId="3" xfId="0" applyNumberFormat="1" applyFont="1" applyFill="1" applyBorder="1"/>
    <xf numFmtId="0" fontId="5" fillId="0" borderId="3" xfId="0" applyFont="1" applyBorder="1" applyAlignment="1">
      <alignment vertical="center" wrapText="1"/>
    </xf>
    <xf numFmtId="0" fontId="1" fillId="0" borderId="8" xfId="0" applyFont="1" applyBorder="1" applyAlignment="1">
      <alignment vertical="center"/>
    </xf>
    <xf numFmtId="0" fontId="1" fillId="0" borderId="3" xfId="0" applyFont="1" applyBorder="1" applyAlignment="1">
      <alignment vertical="center"/>
    </xf>
    <xf numFmtId="164" fontId="18" fillId="5" borderId="3" xfId="0" applyNumberFormat="1" applyFont="1" applyFill="1" applyBorder="1"/>
    <xf numFmtId="164" fontId="17" fillId="5" borderId="3" xfId="0" applyNumberFormat="1" applyFont="1" applyFill="1" applyBorder="1"/>
    <xf numFmtId="17" fontId="12" fillId="0" borderId="3" xfId="0" applyNumberFormat="1" applyFont="1" applyBorder="1"/>
    <xf numFmtId="0" fontId="5" fillId="0" borderId="3" xfId="3" applyFont="1" applyBorder="1" applyAlignment="1">
      <alignment horizontal="left"/>
    </xf>
    <xf numFmtId="0" fontId="6" fillId="0" borderId="13" xfId="3" applyFont="1" applyBorder="1" applyAlignment="1">
      <alignment horizontal="left" wrapText="1"/>
    </xf>
    <xf numFmtId="0" fontId="5" fillId="0" borderId="1" xfId="3" applyFont="1" applyBorder="1" applyAlignment="1">
      <alignment horizontal="left" wrapText="1"/>
    </xf>
    <xf numFmtId="164" fontId="20" fillId="0" borderId="3" xfId="0" applyNumberFormat="1" applyFont="1" applyBorder="1"/>
    <xf numFmtId="0" fontId="23" fillId="0" borderId="3" xfId="0" applyFont="1" applyBorder="1"/>
    <xf numFmtId="0" fontId="24" fillId="0" borderId="3" xfId="0" applyFont="1" applyBorder="1"/>
    <xf numFmtId="0" fontId="25" fillId="0" borderId="0" xfId="0" applyFont="1" applyAlignment="1">
      <alignment wrapText="1"/>
    </xf>
    <xf numFmtId="164" fontId="0" fillId="0" borderId="0" xfId="0" applyNumberFormat="1"/>
    <xf numFmtId="164" fontId="14" fillId="0" borderId="0" xfId="0" applyNumberFormat="1" applyFont="1"/>
    <xf numFmtId="0" fontId="27" fillId="0" borderId="0" xfId="3" applyFont="1" applyAlignment="1">
      <alignment horizontal="left" wrapText="1"/>
    </xf>
    <xf numFmtId="0" fontId="28" fillId="0" borderId="0" xfId="1" applyAlignment="1">
      <alignment wrapText="1"/>
    </xf>
    <xf numFmtId="0" fontId="5" fillId="0" borderId="0" xfId="0" applyFont="1" applyAlignment="1">
      <alignment wrapText="1"/>
    </xf>
    <xf numFmtId="0" fontId="29" fillId="0" borderId="0" xfId="0" applyFont="1" applyAlignment="1">
      <alignment wrapText="1"/>
    </xf>
    <xf numFmtId="0" fontId="25" fillId="0" borderId="0" xfId="0" applyFont="1" applyAlignment="1">
      <alignment horizontal="left" wrapText="1"/>
    </xf>
    <xf numFmtId="0" fontId="6" fillId="0" borderId="0" xfId="4" applyFont="1" applyAlignment="1">
      <alignment horizontal="left"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2" fillId="0" borderId="0" xfId="0" applyFont="1" applyAlignment="1">
      <alignment horizontal="right" wrapText="1"/>
    </xf>
    <xf numFmtId="0" fontId="3" fillId="0" borderId="0" xfId="0" applyFont="1" applyAlignment="1">
      <alignment horizontal="center" wrapText="1"/>
    </xf>
    <xf numFmtId="0" fontId="1" fillId="0" borderId="0" xfId="0" applyFont="1" applyAlignment="1">
      <alignment horizontal="right" vertical="top" wrapText="1"/>
    </xf>
    <xf numFmtId="0" fontId="4" fillId="0" borderId="2" xfId="0" applyFont="1" applyBorder="1" applyAlignment="1">
      <alignment horizontal="center"/>
    </xf>
    <xf numFmtId="0" fontId="4" fillId="0" borderId="8" xfId="0" applyFont="1" applyBorder="1" applyAlignment="1">
      <alignment horizontal="center"/>
    </xf>
    <xf numFmtId="0" fontId="1" fillId="0" borderId="2" xfId="0" applyFont="1" applyBorder="1" applyAlignment="1">
      <alignment horizontal="center" wrapText="1"/>
    </xf>
    <xf numFmtId="0" fontId="1" fillId="0" borderId="8" xfId="0" applyFont="1" applyBorder="1" applyAlignment="1">
      <alignment horizontal="center" wrapText="1"/>
    </xf>
    <xf numFmtId="0" fontId="1" fillId="0" borderId="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0" xfId="0" applyFont="1" applyFill="1" applyBorder="1" applyAlignment="1">
      <alignment horizontal="center" vertical="center" wrapText="1"/>
    </xf>
  </cellXfs>
  <cellStyles count="5">
    <cellStyle name="Normal 2" xfId="3" xr:uid="{5C0AF6B4-8910-4D31-8FF5-8F1A12942FAB}"/>
    <cellStyle name="Гиперссылка" xfId="1" builtinId="8"/>
    <cellStyle name="Обычный" xfId="0" builtinId="0"/>
    <cellStyle name="Обычный 3" xfId="4" xr:uid="{043F36D0-B4CB-4BB8-8702-CF661CAE0070}"/>
    <cellStyle name="Процентный 2" xfId="2" xr:uid="{A520B045-3BF8-4643-B5EB-A07C5B52A5C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romualda.voitkevica@dsiltumtikli.lv"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920BC-9805-4473-A4DC-56C087568B17}">
  <sheetPr>
    <tabColor rgb="FF00B050"/>
  </sheetPr>
  <dimension ref="A1:Q160"/>
  <sheetViews>
    <sheetView tabSelected="1" zoomScale="85" zoomScaleNormal="85" workbookViewId="0">
      <pane ySplit="5" topLeftCell="A144" activePane="bottomLeft" state="frozen"/>
      <selection pane="bottomLeft" activeCell="P161" sqref="P161"/>
    </sheetView>
  </sheetViews>
  <sheetFormatPr defaultRowHeight="12.75" x14ac:dyDescent="0.2"/>
  <cols>
    <col min="2" max="2" width="66.140625" style="2" customWidth="1"/>
    <col min="3" max="3" width="11.5703125" style="2" customWidth="1"/>
    <col min="4" max="4" width="9.42578125" customWidth="1"/>
    <col min="5" max="5" width="10.7109375" customWidth="1"/>
    <col min="6" max="10" width="8.140625" customWidth="1"/>
    <col min="11" max="11" width="8.7109375" customWidth="1"/>
    <col min="12" max="12" width="9.42578125" customWidth="1"/>
    <col min="13" max="13" width="8.85546875" customWidth="1"/>
    <col min="14" max="14" width="10.7109375" customWidth="1"/>
    <col min="15" max="15" width="8.140625" customWidth="1"/>
    <col min="16" max="16" width="11.5703125" customWidth="1"/>
    <col min="17" max="17" width="8" bestFit="1" customWidth="1"/>
    <col min="244" max="244" width="66.140625" customWidth="1"/>
    <col min="245" max="245" width="11.5703125" customWidth="1"/>
    <col min="246" max="246" width="9.42578125" customWidth="1"/>
    <col min="247" max="247" width="10.7109375" customWidth="1"/>
    <col min="248" max="252" width="8.140625" customWidth="1"/>
    <col min="253" max="253" width="8.7109375" customWidth="1"/>
    <col min="254" max="254" width="9.42578125" customWidth="1"/>
    <col min="255" max="255" width="8.85546875" customWidth="1"/>
    <col min="256" max="256" width="10.7109375" customWidth="1"/>
    <col min="257" max="257" width="8.140625" customWidth="1"/>
    <col min="258" max="258" width="11.5703125" customWidth="1"/>
    <col min="259" max="259" width="8" bestFit="1" customWidth="1"/>
    <col min="500" max="500" width="66.140625" customWidth="1"/>
    <col min="501" max="501" width="11.5703125" customWidth="1"/>
    <col min="502" max="502" width="9.42578125" customWidth="1"/>
    <col min="503" max="503" width="10.7109375" customWidth="1"/>
    <col min="504" max="508" width="8.140625" customWidth="1"/>
    <col min="509" max="509" width="8.7109375" customWidth="1"/>
    <col min="510" max="510" width="9.42578125" customWidth="1"/>
    <col min="511" max="511" width="8.85546875" customWidth="1"/>
    <col min="512" max="512" width="10.7109375" customWidth="1"/>
    <col min="513" max="513" width="8.140625" customWidth="1"/>
    <col min="514" max="514" width="11.5703125" customWidth="1"/>
    <col min="515" max="515" width="8" bestFit="1" customWidth="1"/>
    <col min="756" max="756" width="66.140625" customWidth="1"/>
    <col min="757" max="757" width="11.5703125" customWidth="1"/>
    <col min="758" max="758" width="9.42578125" customWidth="1"/>
    <col min="759" max="759" width="10.7109375" customWidth="1"/>
    <col min="760" max="764" width="8.140625" customWidth="1"/>
    <col min="765" max="765" width="8.7109375" customWidth="1"/>
    <col min="766" max="766" width="9.42578125" customWidth="1"/>
    <col min="767" max="767" width="8.85546875" customWidth="1"/>
    <col min="768" max="768" width="10.7109375" customWidth="1"/>
    <col min="769" max="769" width="8.140625" customWidth="1"/>
    <col min="770" max="770" width="11.5703125" customWidth="1"/>
    <col min="771" max="771" width="8" bestFit="1" customWidth="1"/>
    <col min="1012" max="1012" width="66.140625" customWidth="1"/>
    <col min="1013" max="1013" width="11.5703125" customWidth="1"/>
    <col min="1014" max="1014" width="9.42578125" customWidth="1"/>
    <col min="1015" max="1015" width="10.7109375" customWidth="1"/>
    <col min="1016" max="1020" width="8.140625" customWidth="1"/>
    <col min="1021" max="1021" width="8.7109375" customWidth="1"/>
    <col min="1022" max="1022" width="9.42578125" customWidth="1"/>
    <col min="1023" max="1023" width="8.85546875" customWidth="1"/>
    <col min="1024" max="1024" width="10.7109375" customWidth="1"/>
    <col min="1025" max="1025" width="8.140625" customWidth="1"/>
    <col min="1026" max="1026" width="11.5703125" customWidth="1"/>
    <col min="1027" max="1027" width="8" bestFit="1" customWidth="1"/>
    <col min="1268" max="1268" width="66.140625" customWidth="1"/>
    <col min="1269" max="1269" width="11.5703125" customWidth="1"/>
    <col min="1270" max="1270" width="9.42578125" customWidth="1"/>
    <col min="1271" max="1271" width="10.7109375" customWidth="1"/>
    <col min="1272" max="1276" width="8.140625" customWidth="1"/>
    <col min="1277" max="1277" width="8.7109375" customWidth="1"/>
    <col min="1278" max="1278" width="9.42578125" customWidth="1"/>
    <col min="1279" max="1279" width="8.85546875" customWidth="1"/>
    <col min="1280" max="1280" width="10.7109375" customWidth="1"/>
    <col min="1281" max="1281" width="8.140625" customWidth="1"/>
    <col min="1282" max="1282" width="11.5703125" customWidth="1"/>
    <col min="1283" max="1283" width="8" bestFit="1" customWidth="1"/>
    <col min="1524" max="1524" width="66.140625" customWidth="1"/>
    <col min="1525" max="1525" width="11.5703125" customWidth="1"/>
    <col min="1526" max="1526" width="9.42578125" customWidth="1"/>
    <col min="1527" max="1527" width="10.7109375" customWidth="1"/>
    <col min="1528" max="1532" width="8.140625" customWidth="1"/>
    <col min="1533" max="1533" width="8.7109375" customWidth="1"/>
    <col min="1534" max="1534" width="9.42578125" customWidth="1"/>
    <col min="1535" max="1535" width="8.85546875" customWidth="1"/>
    <col min="1536" max="1536" width="10.7109375" customWidth="1"/>
    <col min="1537" max="1537" width="8.140625" customWidth="1"/>
    <col min="1538" max="1538" width="11.5703125" customWidth="1"/>
    <col min="1539" max="1539" width="8" bestFit="1" customWidth="1"/>
    <col min="1780" max="1780" width="66.140625" customWidth="1"/>
    <col min="1781" max="1781" width="11.5703125" customWidth="1"/>
    <col min="1782" max="1782" width="9.42578125" customWidth="1"/>
    <col min="1783" max="1783" width="10.7109375" customWidth="1"/>
    <col min="1784" max="1788" width="8.140625" customWidth="1"/>
    <col min="1789" max="1789" width="8.7109375" customWidth="1"/>
    <col min="1790" max="1790" width="9.42578125" customWidth="1"/>
    <col min="1791" max="1791" width="8.85546875" customWidth="1"/>
    <col min="1792" max="1792" width="10.7109375" customWidth="1"/>
    <col min="1793" max="1793" width="8.140625" customWidth="1"/>
    <col min="1794" max="1794" width="11.5703125" customWidth="1"/>
    <col min="1795" max="1795" width="8" bestFit="1" customWidth="1"/>
    <col min="2036" max="2036" width="66.140625" customWidth="1"/>
    <col min="2037" max="2037" width="11.5703125" customWidth="1"/>
    <col min="2038" max="2038" width="9.42578125" customWidth="1"/>
    <col min="2039" max="2039" width="10.7109375" customWidth="1"/>
    <col min="2040" max="2044" width="8.140625" customWidth="1"/>
    <col min="2045" max="2045" width="8.7109375" customWidth="1"/>
    <col min="2046" max="2046" width="9.42578125" customWidth="1"/>
    <col min="2047" max="2047" width="8.85546875" customWidth="1"/>
    <col min="2048" max="2048" width="10.7109375" customWidth="1"/>
    <col min="2049" max="2049" width="8.140625" customWidth="1"/>
    <col min="2050" max="2050" width="11.5703125" customWidth="1"/>
    <col min="2051" max="2051" width="8" bestFit="1" customWidth="1"/>
    <col min="2292" max="2292" width="66.140625" customWidth="1"/>
    <col min="2293" max="2293" width="11.5703125" customWidth="1"/>
    <col min="2294" max="2294" width="9.42578125" customWidth="1"/>
    <col min="2295" max="2295" width="10.7109375" customWidth="1"/>
    <col min="2296" max="2300" width="8.140625" customWidth="1"/>
    <col min="2301" max="2301" width="8.7109375" customWidth="1"/>
    <col min="2302" max="2302" width="9.42578125" customWidth="1"/>
    <col min="2303" max="2303" width="8.85546875" customWidth="1"/>
    <col min="2304" max="2304" width="10.7109375" customWidth="1"/>
    <col min="2305" max="2305" width="8.140625" customWidth="1"/>
    <col min="2306" max="2306" width="11.5703125" customWidth="1"/>
    <col min="2307" max="2307" width="8" bestFit="1" customWidth="1"/>
    <col min="2548" max="2548" width="66.140625" customWidth="1"/>
    <col min="2549" max="2549" width="11.5703125" customWidth="1"/>
    <col min="2550" max="2550" width="9.42578125" customWidth="1"/>
    <col min="2551" max="2551" width="10.7109375" customWidth="1"/>
    <col min="2552" max="2556" width="8.140625" customWidth="1"/>
    <col min="2557" max="2557" width="8.7109375" customWidth="1"/>
    <col min="2558" max="2558" width="9.42578125" customWidth="1"/>
    <col min="2559" max="2559" width="8.85546875" customWidth="1"/>
    <col min="2560" max="2560" width="10.7109375" customWidth="1"/>
    <col min="2561" max="2561" width="8.140625" customWidth="1"/>
    <col min="2562" max="2562" width="11.5703125" customWidth="1"/>
    <col min="2563" max="2563" width="8" bestFit="1" customWidth="1"/>
    <col min="2804" max="2804" width="66.140625" customWidth="1"/>
    <col min="2805" max="2805" width="11.5703125" customWidth="1"/>
    <col min="2806" max="2806" width="9.42578125" customWidth="1"/>
    <col min="2807" max="2807" width="10.7109375" customWidth="1"/>
    <col min="2808" max="2812" width="8.140625" customWidth="1"/>
    <col min="2813" max="2813" width="8.7109375" customWidth="1"/>
    <col min="2814" max="2814" width="9.42578125" customWidth="1"/>
    <col min="2815" max="2815" width="8.85546875" customWidth="1"/>
    <col min="2816" max="2816" width="10.7109375" customWidth="1"/>
    <col min="2817" max="2817" width="8.140625" customWidth="1"/>
    <col min="2818" max="2818" width="11.5703125" customWidth="1"/>
    <col min="2819" max="2819" width="8" bestFit="1" customWidth="1"/>
    <col min="3060" max="3060" width="66.140625" customWidth="1"/>
    <col min="3061" max="3061" width="11.5703125" customWidth="1"/>
    <col min="3062" max="3062" width="9.42578125" customWidth="1"/>
    <col min="3063" max="3063" width="10.7109375" customWidth="1"/>
    <col min="3064" max="3068" width="8.140625" customWidth="1"/>
    <col min="3069" max="3069" width="8.7109375" customWidth="1"/>
    <col min="3070" max="3070" width="9.42578125" customWidth="1"/>
    <col min="3071" max="3071" width="8.85546875" customWidth="1"/>
    <col min="3072" max="3072" width="10.7109375" customWidth="1"/>
    <col min="3073" max="3073" width="8.140625" customWidth="1"/>
    <col min="3074" max="3074" width="11.5703125" customWidth="1"/>
    <col min="3075" max="3075" width="8" bestFit="1" customWidth="1"/>
    <col min="3316" max="3316" width="66.140625" customWidth="1"/>
    <col min="3317" max="3317" width="11.5703125" customWidth="1"/>
    <col min="3318" max="3318" width="9.42578125" customWidth="1"/>
    <col min="3319" max="3319" width="10.7109375" customWidth="1"/>
    <col min="3320" max="3324" width="8.140625" customWidth="1"/>
    <col min="3325" max="3325" width="8.7109375" customWidth="1"/>
    <col min="3326" max="3326" width="9.42578125" customWidth="1"/>
    <col min="3327" max="3327" width="8.85546875" customWidth="1"/>
    <col min="3328" max="3328" width="10.7109375" customWidth="1"/>
    <col min="3329" max="3329" width="8.140625" customWidth="1"/>
    <col min="3330" max="3330" width="11.5703125" customWidth="1"/>
    <col min="3331" max="3331" width="8" bestFit="1" customWidth="1"/>
    <col min="3572" max="3572" width="66.140625" customWidth="1"/>
    <col min="3573" max="3573" width="11.5703125" customWidth="1"/>
    <col min="3574" max="3574" width="9.42578125" customWidth="1"/>
    <col min="3575" max="3575" width="10.7109375" customWidth="1"/>
    <col min="3576" max="3580" width="8.140625" customWidth="1"/>
    <col min="3581" max="3581" width="8.7109375" customWidth="1"/>
    <col min="3582" max="3582" width="9.42578125" customWidth="1"/>
    <col min="3583" max="3583" width="8.85546875" customWidth="1"/>
    <col min="3584" max="3584" width="10.7109375" customWidth="1"/>
    <col min="3585" max="3585" width="8.140625" customWidth="1"/>
    <col min="3586" max="3586" width="11.5703125" customWidth="1"/>
    <col min="3587" max="3587" width="8" bestFit="1" customWidth="1"/>
    <col min="3828" max="3828" width="66.140625" customWidth="1"/>
    <col min="3829" max="3829" width="11.5703125" customWidth="1"/>
    <col min="3830" max="3830" width="9.42578125" customWidth="1"/>
    <col min="3831" max="3831" width="10.7109375" customWidth="1"/>
    <col min="3832" max="3836" width="8.140625" customWidth="1"/>
    <col min="3837" max="3837" width="8.7109375" customWidth="1"/>
    <col min="3838" max="3838" width="9.42578125" customWidth="1"/>
    <col min="3839" max="3839" width="8.85546875" customWidth="1"/>
    <col min="3840" max="3840" width="10.7109375" customWidth="1"/>
    <col min="3841" max="3841" width="8.140625" customWidth="1"/>
    <col min="3842" max="3842" width="11.5703125" customWidth="1"/>
    <col min="3843" max="3843" width="8" bestFit="1" customWidth="1"/>
    <col min="4084" max="4084" width="66.140625" customWidth="1"/>
    <col min="4085" max="4085" width="11.5703125" customWidth="1"/>
    <col min="4086" max="4086" width="9.42578125" customWidth="1"/>
    <col min="4087" max="4087" width="10.7109375" customWidth="1"/>
    <col min="4088" max="4092" width="8.140625" customWidth="1"/>
    <col min="4093" max="4093" width="8.7109375" customWidth="1"/>
    <col min="4094" max="4094" width="9.42578125" customWidth="1"/>
    <col min="4095" max="4095" width="8.85546875" customWidth="1"/>
    <col min="4096" max="4096" width="10.7109375" customWidth="1"/>
    <col min="4097" max="4097" width="8.140625" customWidth="1"/>
    <col min="4098" max="4098" width="11.5703125" customWidth="1"/>
    <col min="4099" max="4099" width="8" bestFit="1" customWidth="1"/>
    <col min="4340" max="4340" width="66.140625" customWidth="1"/>
    <col min="4341" max="4341" width="11.5703125" customWidth="1"/>
    <col min="4342" max="4342" width="9.42578125" customWidth="1"/>
    <col min="4343" max="4343" width="10.7109375" customWidth="1"/>
    <col min="4344" max="4348" width="8.140625" customWidth="1"/>
    <col min="4349" max="4349" width="8.7109375" customWidth="1"/>
    <col min="4350" max="4350" width="9.42578125" customWidth="1"/>
    <col min="4351" max="4351" width="8.85546875" customWidth="1"/>
    <col min="4352" max="4352" width="10.7109375" customWidth="1"/>
    <col min="4353" max="4353" width="8.140625" customWidth="1"/>
    <col min="4354" max="4354" width="11.5703125" customWidth="1"/>
    <col min="4355" max="4355" width="8" bestFit="1" customWidth="1"/>
    <col min="4596" max="4596" width="66.140625" customWidth="1"/>
    <col min="4597" max="4597" width="11.5703125" customWidth="1"/>
    <col min="4598" max="4598" width="9.42578125" customWidth="1"/>
    <col min="4599" max="4599" width="10.7109375" customWidth="1"/>
    <col min="4600" max="4604" width="8.140625" customWidth="1"/>
    <col min="4605" max="4605" width="8.7109375" customWidth="1"/>
    <col min="4606" max="4606" width="9.42578125" customWidth="1"/>
    <col min="4607" max="4607" width="8.85546875" customWidth="1"/>
    <col min="4608" max="4608" width="10.7109375" customWidth="1"/>
    <col min="4609" max="4609" width="8.140625" customWidth="1"/>
    <col min="4610" max="4610" width="11.5703125" customWidth="1"/>
    <col min="4611" max="4611" width="8" bestFit="1" customWidth="1"/>
    <col min="4852" max="4852" width="66.140625" customWidth="1"/>
    <col min="4853" max="4853" width="11.5703125" customWidth="1"/>
    <col min="4854" max="4854" width="9.42578125" customWidth="1"/>
    <col min="4855" max="4855" width="10.7109375" customWidth="1"/>
    <col min="4856" max="4860" width="8.140625" customWidth="1"/>
    <col min="4861" max="4861" width="8.7109375" customWidth="1"/>
    <col min="4862" max="4862" width="9.42578125" customWidth="1"/>
    <col min="4863" max="4863" width="8.85546875" customWidth="1"/>
    <col min="4864" max="4864" width="10.7109375" customWidth="1"/>
    <col min="4865" max="4865" width="8.140625" customWidth="1"/>
    <col min="4866" max="4866" width="11.5703125" customWidth="1"/>
    <col min="4867" max="4867" width="8" bestFit="1" customWidth="1"/>
    <col min="5108" max="5108" width="66.140625" customWidth="1"/>
    <col min="5109" max="5109" width="11.5703125" customWidth="1"/>
    <col min="5110" max="5110" width="9.42578125" customWidth="1"/>
    <col min="5111" max="5111" width="10.7109375" customWidth="1"/>
    <col min="5112" max="5116" width="8.140625" customWidth="1"/>
    <col min="5117" max="5117" width="8.7109375" customWidth="1"/>
    <col min="5118" max="5118" width="9.42578125" customWidth="1"/>
    <col min="5119" max="5119" width="8.85546875" customWidth="1"/>
    <col min="5120" max="5120" width="10.7109375" customWidth="1"/>
    <col min="5121" max="5121" width="8.140625" customWidth="1"/>
    <col min="5122" max="5122" width="11.5703125" customWidth="1"/>
    <col min="5123" max="5123" width="8" bestFit="1" customWidth="1"/>
    <col min="5364" max="5364" width="66.140625" customWidth="1"/>
    <col min="5365" max="5365" width="11.5703125" customWidth="1"/>
    <col min="5366" max="5366" width="9.42578125" customWidth="1"/>
    <col min="5367" max="5367" width="10.7109375" customWidth="1"/>
    <col min="5368" max="5372" width="8.140625" customWidth="1"/>
    <col min="5373" max="5373" width="8.7109375" customWidth="1"/>
    <col min="5374" max="5374" width="9.42578125" customWidth="1"/>
    <col min="5375" max="5375" width="8.85546875" customWidth="1"/>
    <col min="5376" max="5376" width="10.7109375" customWidth="1"/>
    <col min="5377" max="5377" width="8.140625" customWidth="1"/>
    <col min="5378" max="5378" width="11.5703125" customWidth="1"/>
    <col min="5379" max="5379" width="8" bestFit="1" customWidth="1"/>
    <col min="5620" max="5620" width="66.140625" customWidth="1"/>
    <col min="5621" max="5621" width="11.5703125" customWidth="1"/>
    <col min="5622" max="5622" width="9.42578125" customWidth="1"/>
    <col min="5623" max="5623" width="10.7109375" customWidth="1"/>
    <col min="5624" max="5628" width="8.140625" customWidth="1"/>
    <col min="5629" max="5629" width="8.7109375" customWidth="1"/>
    <col min="5630" max="5630" width="9.42578125" customWidth="1"/>
    <col min="5631" max="5631" width="8.85546875" customWidth="1"/>
    <col min="5632" max="5632" width="10.7109375" customWidth="1"/>
    <col min="5633" max="5633" width="8.140625" customWidth="1"/>
    <col min="5634" max="5634" width="11.5703125" customWidth="1"/>
    <col min="5635" max="5635" width="8" bestFit="1" customWidth="1"/>
    <col min="5876" max="5876" width="66.140625" customWidth="1"/>
    <col min="5877" max="5877" width="11.5703125" customWidth="1"/>
    <col min="5878" max="5878" width="9.42578125" customWidth="1"/>
    <col min="5879" max="5879" width="10.7109375" customWidth="1"/>
    <col min="5880" max="5884" width="8.140625" customWidth="1"/>
    <col min="5885" max="5885" width="8.7109375" customWidth="1"/>
    <col min="5886" max="5886" width="9.42578125" customWidth="1"/>
    <col min="5887" max="5887" width="8.85546875" customWidth="1"/>
    <col min="5888" max="5888" width="10.7109375" customWidth="1"/>
    <col min="5889" max="5889" width="8.140625" customWidth="1"/>
    <col min="5890" max="5890" width="11.5703125" customWidth="1"/>
    <col min="5891" max="5891" width="8" bestFit="1" customWidth="1"/>
    <col min="6132" max="6132" width="66.140625" customWidth="1"/>
    <col min="6133" max="6133" width="11.5703125" customWidth="1"/>
    <col min="6134" max="6134" width="9.42578125" customWidth="1"/>
    <col min="6135" max="6135" width="10.7109375" customWidth="1"/>
    <col min="6136" max="6140" width="8.140625" customWidth="1"/>
    <col min="6141" max="6141" width="8.7109375" customWidth="1"/>
    <col min="6142" max="6142" width="9.42578125" customWidth="1"/>
    <col min="6143" max="6143" width="8.85546875" customWidth="1"/>
    <col min="6144" max="6144" width="10.7109375" customWidth="1"/>
    <col min="6145" max="6145" width="8.140625" customWidth="1"/>
    <col min="6146" max="6146" width="11.5703125" customWidth="1"/>
    <col min="6147" max="6147" width="8" bestFit="1" customWidth="1"/>
    <col min="6388" max="6388" width="66.140625" customWidth="1"/>
    <col min="6389" max="6389" width="11.5703125" customWidth="1"/>
    <col min="6390" max="6390" width="9.42578125" customWidth="1"/>
    <col min="6391" max="6391" width="10.7109375" customWidth="1"/>
    <col min="6392" max="6396" width="8.140625" customWidth="1"/>
    <col min="6397" max="6397" width="8.7109375" customWidth="1"/>
    <col min="6398" max="6398" width="9.42578125" customWidth="1"/>
    <col min="6399" max="6399" width="8.85546875" customWidth="1"/>
    <col min="6400" max="6400" width="10.7109375" customWidth="1"/>
    <col min="6401" max="6401" width="8.140625" customWidth="1"/>
    <col min="6402" max="6402" width="11.5703125" customWidth="1"/>
    <col min="6403" max="6403" width="8" bestFit="1" customWidth="1"/>
    <col min="6644" max="6644" width="66.140625" customWidth="1"/>
    <col min="6645" max="6645" width="11.5703125" customWidth="1"/>
    <col min="6646" max="6646" width="9.42578125" customWidth="1"/>
    <col min="6647" max="6647" width="10.7109375" customWidth="1"/>
    <col min="6648" max="6652" width="8.140625" customWidth="1"/>
    <col min="6653" max="6653" width="8.7109375" customWidth="1"/>
    <col min="6654" max="6654" width="9.42578125" customWidth="1"/>
    <col min="6655" max="6655" width="8.85546875" customWidth="1"/>
    <col min="6656" max="6656" width="10.7109375" customWidth="1"/>
    <col min="6657" max="6657" width="8.140625" customWidth="1"/>
    <col min="6658" max="6658" width="11.5703125" customWidth="1"/>
    <col min="6659" max="6659" width="8" bestFit="1" customWidth="1"/>
    <col min="6900" max="6900" width="66.140625" customWidth="1"/>
    <col min="6901" max="6901" width="11.5703125" customWidth="1"/>
    <col min="6902" max="6902" width="9.42578125" customWidth="1"/>
    <col min="6903" max="6903" width="10.7109375" customWidth="1"/>
    <col min="6904" max="6908" width="8.140625" customWidth="1"/>
    <col min="6909" max="6909" width="8.7109375" customWidth="1"/>
    <col min="6910" max="6910" width="9.42578125" customWidth="1"/>
    <col min="6911" max="6911" width="8.85546875" customWidth="1"/>
    <col min="6912" max="6912" width="10.7109375" customWidth="1"/>
    <col min="6913" max="6913" width="8.140625" customWidth="1"/>
    <col min="6914" max="6914" width="11.5703125" customWidth="1"/>
    <col min="6915" max="6915" width="8" bestFit="1" customWidth="1"/>
    <col min="7156" max="7156" width="66.140625" customWidth="1"/>
    <col min="7157" max="7157" width="11.5703125" customWidth="1"/>
    <col min="7158" max="7158" width="9.42578125" customWidth="1"/>
    <col min="7159" max="7159" width="10.7109375" customWidth="1"/>
    <col min="7160" max="7164" width="8.140625" customWidth="1"/>
    <col min="7165" max="7165" width="8.7109375" customWidth="1"/>
    <col min="7166" max="7166" width="9.42578125" customWidth="1"/>
    <col min="7167" max="7167" width="8.85546875" customWidth="1"/>
    <col min="7168" max="7168" width="10.7109375" customWidth="1"/>
    <col min="7169" max="7169" width="8.140625" customWidth="1"/>
    <col min="7170" max="7170" width="11.5703125" customWidth="1"/>
    <col min="7171" max="7171" width="8" bestFit="1" customWidth="1"/>
    <col min="7412" max="7412" width="66.140625" customWidth="1"/>
    <col min="7413" max="7413" width="11.5703125" customWidth="1"/>
    <col min="7414" max="7414" width="9.42578125" customWidth="1"/>
    <col min="7415" max="7415" width="10.7109375" customWidth="1"/>
    <col min="7416" max="7420" width="8.140625" customWidth="1"/>
    <col min="7421" max="7421" width="8.7109375" customWidth="1"/>
    <col min="7422" max="7422" width="9.42578125" customWidth="1"/>
    <col min="7423" max="7423" width="8.85546875" customWidth="1"/>
    <col min="7424" max="7424" width="10.7109375" customWidth="1"/>
    <col min="7425" max="7425" width="8.140625" customWidth="1"/>
    <col min="7426" max="7426" width="11.5703125" customWidth="1"/>
    <col min="7427" max="7427" width="8" bestFit="1" customWidth="1"/>
    <col min="7668" max="7668" width="66.140625" customWidth="1"/>
    <col min="7669" max="7669" width="11.5703125" customWidth="1"/>
    <col min="7670" max="7670" width="9.42578125" customWidth="1"/>
    <col min="7671" max="7671" width="10.7109375" customWidth="1"/>
    <col min="7672" max="7676" width="8.140625" customWidth="1"/>
    <col min="7677" max="7677" width="8.7109375" customWidth="1"/>
    <col min="7678" max="7678" width="9.42578125" customWidth="1"/>
    <col min="7679" max="7679" width="8.85546875" customWidth="1"/>
    <col min="7680" max="7680" width="10.7109375" customWidth="1"/>
    <col min="7681" max="7681" width="8.140625" customWidth="1"/>
    <col min="7682" max="7682" width="11.5703125" customWidth="1"/>
    <col min="7683" max="7683" width="8" bestFit="1" customWidth="1"/>
    <col min="7924" max="7924" width="66.140625" customWidth="1"/>
    <col min="7925" max="7925" width="11.5703125" customWidth="1"/>
    <col min="7926" max="7926" width="9.42578125" customWidth="1"/>
    <col min="7927" max="7927" width="10.7109375" customWidth="1"/>
    <col min="7928" max="7932" width="8.140625" customWidth="1"/>
    <col min="7933" max="7933" width="8.7109375" customWidth="1"/>
    <col min="7934" max="7934" width="9.42578125" customWidth="1"/>
    <col min="7935" max="7935" width="8.85546875" customWidth="1"/>
    <col min="7936" max="7936" width="10.7109375" customWidth="1"/>
    <col min="7937" max="7937" width="8.140625" customWidth="1"/>
    <col min="7938" max="7938" width="11.5703125" customWidth="1"/>
    <col min="7939" max="7939" width="8" bestFit="1" customWidth="1"/>
    <col min="8180" max="8180" width="66.140625" customWidth="1"/>
    <col min="8181" max="8181" width="11.5703125" customWidth="1"/>
    <col min="8182" max="8182" width="9.42578125" customWidth="1"/>
    <col min="8183" max="8183" width="10.7109375" customWidth="1"/>
    <col min="8184" max="8188" width="8.140625" customWidth="1"/>
    <col min="8189" max="8189" width="8.7109375" customWidth="1"/>
    <col min="8190" max="8190" width="9.42578125" customWidth="1"/>
    <col min="8191" max="8191" width="8.85546875" customWidth="1"/>
    <col min="8192" max="8192" width="10.7109375" customWidth="1"/>
    <col min="8193" max="8193" width="8.140625" customWidth="1"/>
    <col min="8194" max="8194" width="11.5703125" customWidth="1"/>
    <col min="8195" max="8195" width="8" bestFit="1" customWidth="1"/>
    <col min="8436" max="8436" width="66.140625" customWidth="1"/>
    <col min="8437" max="8437" width="11.5703125" customWidth="1"/>
    <col min="8438" max="8438" width="9.42578125" customWidth="1"/>
    <col min="8439" max="8439" width="10.7109375" customWidth="1"/>
    <col min="8440" max="8444" width="8.140625" customWidth="1"/>
    <col min="8445" max="8445" width="8.7109375" customWidth="1"/>
    <col min="8446" max="8446" width="9.42578125" customWidth="1"/>
    <col min="8447" max="8447" width="8.85546875" customWidth="1"/>
    <col min="8448" max="8448" width="10.7109375" customWidth="1"/>
    <col min="8449" max="8449" width="8.140625" customWidth="1"/>
    <col min="8450" max="8450" width="11.5703125" customWidth="1"/>
    <col min="8451" max="8451" width="8" bestFit="1" customWidth="1"/>
    <col min="8692" max="8692" width="66.140625" customWidth="1"/>
    <col min="8693" max="8693" width="11.5703125" customWidth="1"/>
    <col min="8694" max="8694" width="9.42578125" customWidth="1"/>
    <col min="8695" max="8695" width="10.7109375" customWidth="1"/>
    <col min="8696" max="8700" width="8.140625" customWidth="1"/>
    <col min="8701" max="8701" width="8.7109375" customWidth="1"/>
    <col min="8702" max="8702" width="9.42578125" customWidth="1"/>
    <col min="8703" max="8703" width="8.85546875" customWidth="1"/>
    <col min="8704" max="8704" width="10.7109375" customWidth="1"/>
    <col min="8705" max="8705" width="8.140625" customWidth="1"/>
    <col min="8706" max="8706" width="11.5703125" customWidth="1"/>
    <col min="8707" max="8707" width="8" bestFit="1" customWidth="1"/>
    <col min="8948" max="8948" width="66.140625" customWidth="1"/>
    <col min="8949" max="8949" width="11.5703125" customWidth="1"/>
    <col min="8950" max="8950" width="9.42578125" customWidth="1"/>
    <col min="8951" max="8951" width="10.7109375" customWidth="1"/>
    <col min="8952" max="8956" width="8.140625" customWidth="1"/>
    <col min="8957" max="8957" width="8.7109375" customWidth="1"/>
    <col min="8958" max="8958" width="9.42578125" customWidth="1"/>
    <col min="8959" max="8959" width="8.85546875" customWidth="1"/>
    <col min="8960" max="8960" width="10.7109375" customWidth="1"/>
    <col min="8961" max="8961" width="8.140625" customWidth="1"/>
    <col min="8962" max="8962" width="11.5703125" customWidth="1"/>
    <col min="8963" max="8963" width="8" bestFit="1" customWidth="1"/>
    <col min="9204" max="9204" width="66.140625" customWidth="1"/>
    <col min="9205" max="9205" width="11.5703125" customWidth="1"/>
    <col min="9206" max="9206" width="9.42578125" customWidth="1"/>
    <col min="9207" max="9207" width="10.7109375" customWidth="1"/>
    <col min="9208" max="9212" width="8.140625" customWidth="1"/>
    <col min="9213" max="9213" width="8.7109375" customWidth="1"/>
    <col min="9214" max="9214" width="9.42578125" customWidth="1"/>
    <col min="9215" max="9215" width="8.85546875" customWidth="1"/>
    <col min="9216" max="9216" width="10.7109375" customWidth="1"/>
    <col min="9217" max="9217" width="8.140625" customWidth="1"/>
    <col min="9218" max="9218" width="11.5703125" customWidth="1"/>
    <col min="9219" max="9219" width="8" bestFit="1" customWidth="1"/>
    <col min="9460" max="9460" width="66.140625" customWidth="1"/>
    <col min="9461" max="9461" width="11.5703125" customWidth="1"/>
    <col min="9462" max="9462" width="9.42578125" customWidth="1"/>
    <col min="9463" max="9463" width="10.7109375" customWidth="1"/>
    <col min="9464" max="9468" width="8.140625" customWidth="1"/>
    <col min="9469" max="9469" width="8.7109375" customWidth="1"/>
    <col min="9470" max="9470" width="9.42578125" customWidth="1"/>
    <col min="9471" max="9471" width="8.85546875" customWidth="1"/>
    <col min="9472" max="9472" width="10.7109375" customWidth="1"/>
    <col min="9473" max="9473" width="8.140625" customWidth="1"/>
    <col min="9474" max="9474" width="11.5703125" customWidth="1"/>
    <col min="9475" max="9475" width="8" bestFit="1" customWidth="1"/>
    <col min="9716" max="9716" width="66.140625" customWidth="1"/>
    <col min="9717" max="9717" width="11.5703125" customWidth="1"/>
    <col min="9718" max="9718" width="9.42578125" customWidth="1"/>
    <col min="9719" max="9719" width="10.7109375" customWidth="1"/>
    <col min="9720" max="9724" width="8.140625" customWidth="1"/>
    <col min="9725" max="9725" width="8.7109375" customWidth="1"/>
    <col min="9726" max="9726" width="9.42578125" customWidth="1"/>
    <col min="9727" max="9727" width="8.85546875" customWidth="1"/>
    <col min="9728" max="9728" width="10.7109375" customWidth="1"/>
    <col min="9729" max="9729" width="8.140625" customWidth="1"/>
    <col min="9730" max="9730" width="11.5703125" customWidth="1"/>
    <col min="9731" max="9731" width="8" bestFit="1" customWidth="1"/>
    <col min="9972" max="9972" width="66.140625" customWidth="1"/>
    <col min="9973" max="9973" width="11.5703125" customWidth="1"/>
    <col min="9974" max="9974" width="9.42578125" customWidth="1"/>
    <col min="9975" max="9975" width="10.7109375" customWidth="1"/>
    <col min="9976" max="9980" width="8.140625" customWidth="1"/>
    <col min="9981" max="9981" width="8.7109375" customWidth="1"/>
    <col min="9982" max="9982" width="9.42578125" customWidth="1"/>
    <col min="9983" max="9983" width="8.85546875" customWidth="1"/>
    <col min="9984" max="9984" width="10.7109375" customWidth="1"/>
    <col min="9985" max="9985" width="8.140625" customWidth="1"/>
    <col min="9986" max="9986" width="11.5703125" customWidth="1"/>
    <col min="9987" max="9987" width="8" bestFit="1" customWidth="1"/>
    <col min="10228" max="10228" width="66.140625" customWidth="1"/>
    <col min="10229" max="10229" width="11.5703125" customWidth="1"/>
    <col min="10230" max="10230" width="9.42578125" customWidth="1"/>
    <col min="10231" max="10231" width="10.7109375" customWidth="1"/>
    <col min="10232" max="10236" width="8.140625" customWidth="1"/>
    <col min="10237" max="10237" width="8.7109375" customWidth="1"/>
    <col min="10238" max="10238" width="9.42578125" customWidth="1"/>
    <col min="10239" max="10239" width="8.85546875" customWidth="1"/>
    <col min="10240" max="10240" width="10.7109375" customWidth="1"/>
    <col min="10241" max="10241" width="8.140625" customWidth="1"/>
    <col min="10242" max="10242" width="11.5703125" customWidth="1"/>
    <col min="10243" max="10243" width="8" bestFit="1" customWidth="1"/>
    <col min="10484" max="10484" width="66.140625" customWidth="1"/>
    <col min="10485" max="10485" width="11.5703125" customWidth="1"/>
    <col min="10486" max="10486" width="9.42578125" customWidth="1"/>
    <col min="10487" max="10487" width="10.7109375" customWidth="1"/>
    <col min="10488" max="10492" width="8.140625" customWidth="1"/>
    <col min="10493" max="10493" width="8.7109375" customWidth="1"/>
    <col min="10494" max="10494" width="9.42578125" customWidth="1"/>
    <col min="10495" max="10495" width="8.85546875" customWidth="1"/>
    <col min="10496" max="10496" width="10.7109375" customWidth="1"/>
    <col min="10497" max="10497" width="8.140625" customWidth="1"/>
    <col min="10498" max="10498" width="11.5703125" customWidth="1"/>
    <col min="10499" max="10499" width="8" bestFit="1" customWidth="1"/>
    <col min="10740" max="10740" width="66.140625" customWidth="1"/>
    <col min="10741" max="10741" width="11.5703125" customWidth="1"/>
    <col min="10742" max="10742" width="9.42578125" customWidth="1"/>
    <col min="10743" max="10743" width="10.7109375" customWidth="1"/>
    <col min="10744" max="10748" width="8.140625" customWidth="1"/>
    <col min="10749" max="10749" width="8.7109375" customWidth="1"/>
    <col min="10750" max="10750" width="9.42578125" customWidth="1"/>
    <col min="10751" max="10751" width="8.85546875" customWidth="1"/>
    <col min="10752" max="10752" width="10.7109375" customWidth="1"/>
    <col min="10753" max="10753" width="8.140625" customWidth="1"/>
    <col min="10754" max="10754" width="11.5703125" customWidth="1"/>
    <col min="10755" max="10755" width="8" bestFit="1" customWidth="1"/>
    <col min="10996" max="10996" width="66.140625" customWidth="1"/>
    <col min="10997" max="10997" width="11.5703125" customWidth="1"/>
    <col min="10998" max="10998" width="9.42578125" customWidth="1"/>
    <col min="10999" max="10999" width="10.7109375" customWidth="1"/>
    <col min="11000" max="11004" width="8.140625" customWidth="1"/>
    <col min="11005" max="11005" width="8.7109375" customWidth="1"/>
    <col min="11006" max="11006" width="9.42578125" customWidth="1"/>
    <col min="11007" max="11007" width="8.85546875" customWidth="1"/>
    <col min="11008" max="11008" width="10.7109375" customWidth="1"/>
    <col min="11009" max="11009" width="8.140625" customWidth="1"/>
    <col min="11010" max="11010" width="11.5703125" customWidth="1"/>
    <col min="11011" max="11011" width="8" bestFit="1" customWidth="1"/>
    <col min="11252" max="11252" width="66.140625" customWidth="1"/>
    <col min="11253" max="11253" width="11.5703125" customWidth="1"/>
    <col min="11254" max="11254" width="9.42578125" customWidth="1"/>
    <col min="11255" max="11255" width="10.7109375" customWidth="1"/>
    <col min="11256" max="11260" width="8.140625" customWidth="1"/>
    <col min="11261" max="11261" width="8.7109375" customWidth="1"/>
    <col min="11262" max="11262" width="9.42578125" customWidth="1"/>
    <col min="11263" max="11263" width="8.85546875" customWidth="1"/>
    <col min="11264" max="11264" width="10.7109375" customWidth="1"/>
    <col min="11265" max="11265" width="8.140625" customWidth="1"/>
    <col min="11266" max="11266" width="11.5703125" customWidth="1"/>
    <col min="11267" max="11267" width="8" bestFit="1" customWidth="1"/>
    <col min="11508" max="11508" width="66.140625" customWidth="1"/>
    <col min="11509" max="11509" width="11.5703125" customWidth="1"/>
    <col min="11510" max="11510" width="9.42578125" customWidth="1"/>
    <col min="11511" max="11511" width="10.7109375" customWidth="1"/>
    <col min="11512" max="11516" width="8.140625" customWidth="1"/>
    <col min="11517" max="11517" width="8.7109375" customWidth="1"/>
    <col min="11518" max="11518" width="9.42578125" customWidth="1"/>
    <col min="11519" max="11519" width="8.85546875" customWidth="1"/>
    <col min="11520" max="11520" width="10.7109375" customWidth="1"/>
    <col min="11521" max="11521" width="8.140625" customWidth="1"/>
    <col min="11522" max="11522" width="11.5703125" customWidth="1"/>
    <col min="11523" max="11523" width="8" bestFit="1" customWidth="1"/>
    <col min="11764" max="11764" width="66.140625" customWidth="1"/>
    <col min="11765" max="11765" width="11.5703125" customWidth="1"/>
    <col min="11766" max="11766" width="9.42578125" customWidth="1"/>
    <col min="11767" max="11767" width="10.7109375" customWidth="1"/>
    <col min="11768" max="11772" width="8.140625" customWidth="1"/>
    <col min="11773" max="11773" width="8.7109375" customWidth="1"/>
    <col min="11774" max="11774" width="9.42578125" customWidth="1"/>
    <col min="11775" max="11775" width="8.85546875" customWidth="1"/>
    <col min="11776" max="11776" width="10.7109375" customWidth="1"/>
    <col min="11777" max="11777" width="8.140625" customWidth="1"/>
    <col min="11778" max="11778" width="11.5703125" customWidth="1"/>
    <col min="11779" max="11779" width="8" bestFit="1" customWidth="1"/>
    <col min="12020" max="12020" width="66.140625" customWidth="1"/>
    <col min="12021" max="12021" width="11.5703125" customWidth="1"/>
    <col min="12022" max="12022" width="9.42578125" customWidth="1"/>
    <col min="12023" max="12023" width="10.7109375" customWidth="1"/>
    <col min="12024" max="12028" width="8.140625" customWidth="1"/>
    <col min="12029" max="12029" width="8.7109375" customWidth="1"/>
    <col min="12030" max="12030" width="9.42578125" customWidth="1"/>
    <col min="12031" max="12031" width="8.85546875" customWidth="1"/>
    <col min="12032" max="12032" width="10.7109375" customWidth="1"/>
    <col min="12033" max="12033" width="8.140625" customWidth="1"/>
    <col min="12034" max="12034" width="11.5703125" customWidth="1"/>
    <col min="12035" max="12035" width="8" bestFit="1" customWidth="1"/>
    <col min="12276" max="12276" width="66.140625" customWidth="1"/>
    <col min="12277" max="12277" width="11.5703125" customWidth="1"/>
    <col min="12278" max="12278" width="9.42578125" customWidth="1"/>
    <col min="12279" max="12279" width="10.7109375" customWidth="1"/>
    <col min="12280" max="12284" width="8.140625" customWidth="1"/>
    <col min="12285" max="12285" width="8.7109375" customWidth="1"/>
    <col min="12286" max="12286" width="9.42578125" customWidth="1"/>
    <col min="12287" max="12287" width="8.85546875" customWidth="1"/>
    <col min="12288" max="12288" width="10.7109375" customWidth="1"/>
    <col min="12289" max="12289" width="8.140625" customWidth="1"/>
    <col min="12290" max="12290" width="11.5703125" customWidth="1"/>
    <col min="12291" max="12291" width="8" bestFit="1" customWidth="1"/>
    <col min="12532" max="12532" width="66.140625" customWidth="1"/>
    <col min="12533" max="12533" width="11.5703125" customWidth="1"/>
    <col min="12534" max="12534" width="9.42578125" customWidth="1"/>
    <col min="12535" max="12535" width="10.7109375" customWidth="1"/>
    <col min="12536" max="12540" width="8.140625" customWidth="1"/>
    <col min="12541" max="12541" width="8.7109375" customWidth="1"/>
    <col min="12542" max="12542" width="9.42578125" customWidth="1"/>
    <col min="12543" max="12543" width="8.85546875" customWidth="1"/>
    <col min="12544" max="12544" width="10.7109375" customWidth="1"/>
    <col min="12545" max="12545" width="8.140625" customWidth="1"/>
    <col min="12546" max="12546" width="11.5703125" customWidth="1"/>
    <col min="12547" max="12547" width="8" bestFit="1" customWidth="1"/>
    <col min="12788" max="12788" width="66.140625" customWidth="1"/>
    <col min="12789" max="12789" width="11.5703125" customWidth="1"/>
    <col min="12790" max="12790" width="9.42578125" customWidth="1"/>
    <col min="12791" max="12791" width="10.7109375" customWidth="1"/>
    <col min="12792" max="12796" width="8.140625" customWidth="1"/>
    <col min="12797" max="12797" width="8.7109375" customWidth="1"/>
    <col min="12798" max="12798" width="9.42578125" customWidth="1"/>
    <col min="12799" max="12799" width="8.85546875" customWidth="1"/>
    <col min="12800" max="12800" width="10.7109375" customWidth="1"/>
    <col min="12801" max="12801" width="8.140625" customWidth="1"/>
    <col min="12802" max="12802" width="11.5703125" customWidth="1"/>
    <col min="12803" max="12803" width="8" bestFit="1" customWidth="1"/>
    <col min="13044" max="13044" width="66.140625" customWidth="1"/>
    <col min="13045" max="13045" width="11.5703125" customWidth="1"/>
    <col min="13046" max="13046" width="9.42578125" customWidth="1"/>
    <col min="13047" max="13047" width="10.7109375" customWidth="1"/>
    <col min="13048" max="13052" width="8.140625" customWidth="1"/>
    <col min="13053" max="13053" width="8.7109375" customWidth="1"/>
    <col min="13054" max="13054" width="9.42578125" customWidth="1"/>
    <col min="13055" max="13055" width="8.85546875" customWidth="1"/>
    <col min="13056" max="13056" width="10.7109375" customWidth="1"/>
    <col min="13057" max="13057" width="8.140625" customWidth="1"/>
    <col min="13058" max="13058" width="11.5703125" customWidth="1"/>
    <col min="13059" max="13059" width="8" bestFit="1" customWidth="1"/>
    <col min="13300" max="13300" width="66.140625" customWidth="1"/>
    <col min="13301" max="13301" width="11.5703125" customWidth="1"/>
    <col min="13302" max="13302" width="9.42578125" customWidth="1"/>
    <col min="13303" max="13303" width="10.7109375" customWidth="1"/>
    <col min="13304" max="13308" width="8.140625" customWidth="1"/>
    <col min="13309" max="13309" width="8.7109375" customWidth="1"/>
    <col min="13310" max="13310" width="9.42578125" customWidth="1"/>
    <col min="13311" max="13311" width="8.85546875" customWidth="1"/>
    <col min="13312" max="13312" width="10.7109375" customWidth="1"/>
    <col min="13313" max="13313" width="8.140625" customWidth="1"/>
    <col min="13314" max="13314" width="11.5703125" customWidth="1"/>
    <col min="13315" max="13315" width="8" bestFit="1" customWidth="1"/>
    <col min="13556" max="13556" width="66.140625" customWidth="1"/>
    <col min="13557" max="13557" width="11.5703125" customWidth="1"/>
    <col min="13558" max="13558" width="9.42578125" customWidth="1"/>
    <col min="13559" max="13559" width="10.7109375" customWidth="1"/>
    <col min="13560" max="13564" width="8.140625" customWidth="1"/>
    <col min="13565" max="13565" width="8.7109375" customWidth="1"/>
    <col min="13566" max="13566" width="9.42578125" customWidth="1"/>
    <col min="13567" max="13567" width="8.85546875" customWidth="1"/>
    <col min="13568" max="13568" width="10.7109375" customWidth="1"/>
    <col min="13569" max="13569" width="8.140625" customWidth="1"/>
    <col min="13570" max="13570" width="11.5703125" customWidth="1"/>
    <col min="13571" max="13571" width="8" bestFit="1" customWidth="1"/>
    <col min="13812" max="13812" width="66.140625" customWidth="1"/>
    <col min="13813" max="13813" width="11.5703125" customWidth="1"/>
    <col min="13814" max="13814" width="9.42578125" customWidth="1"/>
    <col min="13815" max="13815" width="10.7109375" customWidth="1"/>
    <col min="13816" max="13820" width="8.140625" customWidth="1"/>
    <col min="13821" max="13821" width="8.7109375" customWidth="1"/>
    <col min="13822" max="13822" width="9.42578125" customWidth="1"/>
    <col min="13823" max="13823" width="8.85546875" customWidth="1"/>
    <col min="13824" max="13824" width="10.7109375" customWidth="1"/>
    <col min="13825" max="13825" width="8.140625" customWidth="1"/>
    <col min="13826" max="13826" width="11.5703125" customWidth="1"/>
    <col min="13827" max="13827" width="8" bestFit="1" customWidth="1"/>
    <col min="14068" max="14068" width="66.140625" customWidth="1"/>
    <col min="14069" max="14069" width="11.5703125" customWidth="1"/>
    <col min="14070" max="14070" width="9.42578125" customWidth="1"/>
    <col min="14071" max="14071" width="10.7109375" customWidth="1"/>
    <col min="14072" max="14076" width="8.140625" customWidth="1"/>
    <col min="14077" max="14077" width="8.7109375" customWidth="1"/>
    <col min="14078" max="14078" width="9.42578125" customWidth="1"/>
    <col min="14079" max="14079" width="8.85546875" customWidth="1"/>
    <col min="14080" max="14080" width="10.7109375" customWidth="1"/>
    <col min="14081" max="14081" width="8.140625" customWidth="1"/>
    <col min="14082" max="14082" width="11.5703125" customWidth="1"/>
    <col min="14083" max="14083" width="8" bestFit="1" customWidth="1"/>
    <col min="14324" max="14324" width="66.140625" customWidth="1"/>
    <col min="14325" max="14325" width="11.5703125" customWidth="1"/>
    <col min="14326" max="14326" width="9.42578125" customWidth="1"/>
    <col min="14327" max="14327" width="10.7109375" customWidth="1"/>
    <col min="14328" max="14332" width="8.140625" customWidth="1"/>
    <col min="14333" max="14333" width="8.7109375" customWidth="1"/>
    <col min="14334" max="14334" width="9.42578125" customWidth="1"/>
    <col min="14335" max="14335" width="8.85546875" customWidth="1"/>
    <col min="14336" max="14336" width="10.7109375" customWidth="1"/>
    <col min="14337" max="14337" width="8.140625" customWidth="1"/>
    <col min="14338" max="14338" width="11.5703125" customWidth="1"/>
    <col min="14339" max="14339" width="8" bestFit="1" customWidth="1"/>
    <col min="14580" max="14580" width="66.140625" customWidth="1"/>
    <col min="14581" max="14581" width="11.5703125" customWidth="1"/>
    <col min="14582" max="14582" width="9.42578125" customWidth="1"/>
    <col min="14583" max="14583" width="10.7109375" customWidth="1"/>
    <col min="14584" max="14588" width="8.140625" customWidth="1"/>
    <col min="14589" max="14589" width="8.7109375" customWidth="1"/>
    <col min="14590" max="14590" width="9.42578125" customWidth="1"/>
    <col min="14591" max="14591" width="8.85546875" customWidth="1"/>
    <col min="14592" max="14592" width="10.7109375" customWidth="1"/>
    <col min="14593" max="14593" width="8.140625" customWidth="1"/>
    <col min="14594" max="14594" width="11.5703125" customWidth="1"/>
    <col min="14595" max="14595" width="8" bestFit="1" customWidth="1"/>
    <col min="14836" max="14836" width="66.140625" customWidth="1"/>
    <col min="14837" max="14837" width="11.5703125" customWidth="1"/>
    <col min="14838" max="14838" width="9.42578125" customWidth="1"/>
    <col min="14839" max="14839" width="10.7109375" customWidth="1"/>
    <col min="14840" max="14844" width="8.140625" customWidth="1"/>
    <col min="14845" max="14845" width="8.7109375" customWidth="1"/>
    <col min="14846" max="14846" width="9.42578125" customWidth="1"/>
    <col min="14847" max="14847" width="8.85546875" customWidth="1"/>
    <col min="14848" max="14848" width="10.7109375" customWidth="1"/>
    <col min="14849" max="14849" width="8.140625" customWidth="1"/>
    <col min="14850" max="14850" width="11.5703125" customWidth="1"/>
    <col min="14851" max="14851" width="8" bestFit="1" customWidth="1"/>
    <col min="15092" max="15092" width="66.140625" customWidth="1"/>
    <col min="15093" max="15093" width="11.5703125" customWidth="1"/>
    <col min="15094" max="15094" width="9.42578125" customWidth="1"/>
    <col min="15095" max="15095" width="10.7109375" customWidth="1"/>
    <col min="15096" max="15100" width="8.140625" customWidth="1"/>
    <col min="15101" max="15101" width="8.7109375" customWidth="1"/>
    <col min="15102" max="15102" width="9.42578125" customWidth="1"/>
    <col min="15103" max="15103" width="8.85546875" customWidth="1"/>
    <col min="15104" max="15104" width="10.7109375" customWidth="1"/>
    <col min="15105" max="15105" width="8.140625" customWidth="1"/>
    <col min="15106" max="15106" width="11.5703125" customWidth="1"/>
    <col min="15107" max="15107" width="8" bestFit="1" customWidth="1"/>
    <col min="15348" max="15348" width="66.140625" customWidth="1"/>
    <col min="15349" max="15349" width="11.5703125" customWidth="1"/>
    <col min="15350" max="15350" width="9.42578125" customWidth="1"/>
    <col min="15351" max="15351" width="10.7109375" customWidth="1"/>
    <col min="15352" max="15356" width="8.140625" customWidth="1"/>
    <col min="15357" max="15357" width="8.7109375" customWidth="1"/>
    <col min="15358" max="15358" width="9.42578125" customWidth="1"/>
    <col min="15359" max="15359" width="8.85546875" customWidth="1"/>
    <col min="15360" max="15360" width="10.7109375" customWidth="1"/>
    <col min="15361" max="15361" width="8.140625" customWidth="1"/>
    <col min="15362" max="15362" width="11.5703125" customWidth="1"/>
    <col min="15363" max="15363" width="8" bestFit="1" customWidth="1"/>
    <col min="15604" max="15604" width="66.140625" customWidth="1"/>
    <col min="15605" max="15605" width="11.5703125" customWidth="1"/>
    <col min="15606" max="15606" width="9.42578125" customWidth="1"/>
    <col min="15607" max="15607" width="10.7109375" customWidth="1"/>
    <col min="15608" max="15612" width="8.140625" customWidth="1"/>
    <col min="15613" max="15613" width="8.7109375" customWidth="1"/>
    <col min="15614" max="15614" width="9.42578125" customWidth="1"/>
    <col min="15615" max="15615" width="8.85546875" customWidth="1"/>
    <col min="15616" max="15616" width="10.7109375" customWidth="1"/>
    <col min="15617" max="15617" width="8.140625" customWidth="1"/>
    <col min="15618" max="15618" width="11.5703125" customWidth="1"/>
    <col min="15619" max="15619" width="8" bestFit="1" customWidth="1"/>
    <col min="15860" max="15860" width="66.140625" customWidth="1"/>
    <col min="15861" max="15861" width="11.5703125" customWidth="1"/>
    <col min="15862" max="15862" width="9.42578125" customWidth="1"/>
    <col min="15863" max="15863" width="10.7109375" customWidth="1"/>
    <col min="15864" max="15868" width="8.140625" customWidth="1"/>
    <col min="15869" max="15869" width="8.7109375" customWidth="1"/>
    <col min="15870" max="15870" width="9.42578125" customWidth="1"/>
    <col min="15871" max="15871" width="8.85546875" customWidth="1"/>
    <col min="15872" max="15872" width="10.7109375" customWidth="1"/>
    <col min="15873" max="15873" width="8.140625" customWidth="1"/>
    <col min="15874" max="15874" width="11.5703125" customWidth="1"/>
    <col min="15875" max="15875" width="8" bestFit="1" customWidth="1"/>
    <col min="16116" max="16116" width="66.140625" customWidth="1"/>
    <col min="16117" max="16117" width="11.5703125" customWidth="1"/>
    <col min="16118" max="16118" width="9.42578125" customWidth="1"/>
    <col min="16119" max="16119" width="10.7109375" customWidth="1"/>
    <col min="16120" max="16124" width="8.140625" customWidth="1"/>
    <col min="16125" max="16125" width="8.7109375" customWidth="1"/>
    <col min="16126" max="16126" width="9.42578125" customWidth="1"/>
    <col min="16127" max="16127" width="8.85546875" customWidth="1"/>
    <col min="16128" max="16128" width="10.7109375" customWidth="1"/>
    <col min="16129" max="16129" width="8.140625" customWidth="1"/>
    <col min="16130" max="16130" width="11.5703125" customWidth="1"/>
    <col min="16131" max="16131" width="8" bestFit="1" customWidth="1"/>
  </cols>
  <sheetData>
    <row r="1" spans="1:17" ht="18.75" customHeight="1" x14ac:dyDescent="0.3">
      <c r="A1" s="1" t="s">
        <v>0</v>
      </c>
      <c r="C1" s="3"/>
      <c r="N1" s="128" t="s">
        <v>1</v>
      </c>
      <c r="O1" s="128"/>
    </row>
    <row r="2" spans="1:17" ht="24.75" customHeight="1" x14ac:dyDescent="0.3">
      <c r="B2" s="129" t="s">
        <v>2</v>
      </c>
      <c r="C2" s="129"/>
    </row>
    <row r="3" spans="1:17" ht="16.5" customHeight="1" thickBot="1" x14ac:dyDescent="0.25">
      <c r="B3" s="4"/>
      <c r="C3" s="5"/>
      <c r="H3" s="130" t="s">
        <v>3</v>
      </c>
      <c r="I3" s="130"/>
      <c r="J3" s="130"/>
      <c r="K3" s="6"/>
      <c r="L3" s="6"/>
      <c r="M3" s="6"/>
    </row>
    <row r="4" spans="1:17" ht="47.25" customHeight="1" x14ac:dyDescent="0.25">
      <c r="A4" s="131" t="s">
        <v>4</v>
      </c>
      <c r="B4" s="133" t="s">
        <v>5</v>
      </c>
      <c r="C4" s="135" t="s">
        <v>6</v>
      </c>
      <c r="D4" s="137" t="s">
        <v>7</v>
      </c>
      <c r="E4" s="137"/>
      <c r="F4" s="137"/>
      <c r="G4" s="137"/>
      <c r="H4" s="137"/>
      <c r="I4" s="137"/>
      <c r="J4" s="137"/>
      <c r="K4" s="137"/>
      <c r="L4" s="138" t="s">
        <v>8</v>
      </c>
      <c r="M4" s="139"/>
      <c r="N4" s="122" t="s">
        <v>9</v>
      </c>
      <c r="O4" s="123"/>
      <c r="P4" s="122">
        <f>SUM(L4:N4)</f>
        <v>0</v>
      </c>
      <c r="Q4" s="123"/>
    </row>
    <row r="5" spans="1:17" ht="31.5" x14ac:dyDescent="0.25">
      <c r="A5" s="132"/>
      <c r="B5" s="134"/>
      <c r="C5" s="136"/>
      <c r="D5" s="124" t="s">
        <v>10</v>
      </c>
      <c r="E5" s="125"/>
      <c r="F5" s="124" t="s">
        <v>11</v>
      </c>
      <c r="G5" s="125"/>
      <c r="H5" s="124" t="s">
        <v>12</v>
      </c>
      <c r="I5" s="125"/>
      <c r="J5" s="126" t="s">
        <v>13</v>
      </c>
      <c r="K5" s="127"/>
      <c r="L5" s="140"/>
      <c r="M5" s="141"/>
      <c r="N5" s="7" t="s">
        <v>14</v>
      </c>
      <c r="O5" s="8" t="s">
        <v>15</v>
      </c>
      <c r="P5" s="7" t="s">
        <v>14</v>
      </c>
      <c r="Q5" s="8" t="s">
        <v>15</v>
      </c>
    </row>
    <row r="6" spans="1:17" ht="15.75" x14ac:dyDescent="0.25">
      <c r="A6" s="9"/>
      <c r="B6" s="10"/>
      <c r="C6" s="11" t="s">
        <v>16</v>
      </c>
      <c r="D6" s="8" t="s">
        <v>17</v>
      </c>
      <c r="E6" s="8" t="s">
        <v>18</v>
      </c>
      <c r="F6" s="8" t="s">
        <v>17</v>
      </c>
      <c r="G6" s="8" t="s">
        <v>18</v>
      </c>
      <c r="H6" s="8" t="s">
        <v>17</v>
      </c>
      <c r="I6" s="8" t="s">
        <v>18</v>
      </c>
      <c r="J6" s="12" t="s">
        <v>17</v>
      </c>
      <c r="K6" s="13" t="s">
        <v>18</v>
      </c>
      <c r="L6" s="14"/>
      <c r="M6" s="15"/>
      <c r="N6" s="16"/>
      <c r="O6" s="17"/>
      <c r="P6" s="17"/>
      <c r="Q6" s="18"/>
    </row>
    <row r="7" spans="1:17" ht="15.75" customHeight="1" x14ac:dyDescent="0.25">
      <c r="A7" s="9"/>
      <c r="B7" s="19" t="s">
        <v>19</v>
      </c>
      <c r="C7" s="20"/>
      <c r="D7" s="21"/>
      <c r="E7" s="22"/>
      <c r="F7" s="21"/>
      <c r="G7" s="23"/>
      <c r="H7" s="21"/>
      <c r="I7" s="23"/>
      <c r="J7" s="21"/>
      <c r="K7" s="24"/>
      <c r="L7" s="21"/>
      <c r="M7" s="23"/>
      <c r="N7" s="25"/>
      <c r="O7" s="25"/>
      <c r="P7" s="25"/>
      <c r="Q7" s="26"/>
    </row>
    <row r="8" spans="1:17" ht="15.75" x14ac:dyDescent="0.25">
      <c r="A8" s="9"/>
      <c r="B8" s="27" t="s">
        <v>20</v>
      </c>
      <c r="C8" s="23">
        <v>252</v>
      </c>
      <c r="D8" s="21"/>
      <c r="E8" s="28">
        <v>245</v>
      </c>
      <c r="F8" s="21"/>
      <c r="G8" s="29">
        <v>249.3</v>
      </c>
      <c r="H8" s="21"/>
      <c r="I8" s="30">
        <v>247.7</v>
      </c>
      <c r="J8" s="21"/>
      <c r="K8" s="30">
        <f>(247+249+247)/3</f>
        <v>247.66666666666666</v>
      </c>
      <c r="L8" s="21"/>
      <c r="M8" s="29">
        <f>(E8+G8+I8+K8)/4</f>
        <v>247.41666666666666</v>
      </c>
      <c r="N8" s="25"/>
      <c r="O8" s="25"/>
      <c r="P8" s="31">
        <f>M8-C8</f>
        <v>-4.5833333333333428</v>
      </c>
      <c r="Q8" s="32">
        <f>M8/C8</f>
        <v>0.9818121693121693</v>
      </c>
    </row>
    <row r="9" spans="1:17" ht="15.75" x14ac:dyDescent="0.25">
      <c r="A9" s="9"/>
      <c r="B9" s="27" t="s">
        <v>21</v>
      </c>
      <c r="C9" s="23">
        <v>26</v>
      </c>
      <c r="D9" s="21"/>
      <c r="E9" s="28">
        <f>29-1-3</f>
        <v>25</v>
      </c>
      <c r="F9" s="21"/>
      <c r="G9" s="28">
        <f>29-1-3</f>
        <v>25</v>
      </c>
      <c r="H9" s="21"/>
      <c r="I9" s="28">
        <f>28-1-3</f>
        <v>24</v>
      </c>
      <c r="J9" s="21"/>
      <c r="K9" s="30">
        <f>27-1-1</f>
        <v>25</v>
      </c>
      <c r="L9" s="21"/>
      <c r="M9" s="29">
        <f>(E9+G9+I9+K9)/4</f>
        <v>24.75</v>
      </c>
      <c r="N9" s="25"/>
      <c r="O9" s="25"/>
      <c r="P9" s="31">
        <f t="shared" ref="P9:P21" si="0">M9-C9</f>
        <v>-1.25</v>
      </c>
      <c r="Q9" s="32">
        <f t="shared" ref="Q9:Q21" si="1">M9/C9</f>
        <v>0.95192307692307687</v>
      </c>
    </row>
    <row r="10" spans="1:17" ht="15.75" x14ac:dyDescent="0.25">
      <c r="A10" s="9"/>
      <c r="B10" s="19" t="s">
        <v>22</v>
      </c>
      <c r="C10" s="29">
        <v>697.8105158730159</v>
      </c>
      <c r="D10" s="21"/>
      <c r="E10" s="30">
        <f>523507.42/3/E8</f>
        <v>712.25499319727885</v>
      </c>
      <c r="F10" s="21"/>
      <c r="G10" s="30">
        <f>589879.33/3/G8</f>
        <v>788.71417301778308</v>
      </c>
      <c r="H10" s="21"/>
      <c r="I10" s="30">
        <f>574084.45/3/I8</f>
        <v>772.5534248418785</v>
      </c>
      <c r="J10" s="21"/>
      <c r="K10" s="30">
        <f>615387.5/3/K8</f>
        <v>828.24697173620461</v>
      </c>
      <c r="L10" s="21"/>
      <c r="M10" s="29">
        <f>(E10+G10+I10+K10)/4</f>
        <v>775.44239069828632</v>
      </c>
      <c r="N10" s="25"/>
      <c r="O10" s="25"/>
      <c r="P10" s="31">
        <f t="shared" si="0"/>
        <v>77.631874825270415</v>
      </c>
      <c r="Q10" s="32">
        <f t="shared" si="1"/>
        <v>1.1112506519454595</v>
      </c>
    </row>
    <row r="11" spans="1:17" ht="15.75" x14ac:dyDescent="0.25">
      <c r="A11" s="9"/>
      <c r="B11" s="27" t="s">
        <v>23</v>
      </c>
      <c r="C11" s="29">
        <v>868.19230769230762</v>
      </c>
      <c r="D11" s="21"/>
      <c r="E11" s="30">
        <f>(69685.82+2091-2220*3)/3/E9</f>
        <v>868.22426666666684</v>
      </c>
      <c r="F11" s="21"/>
      <c r="G11" s="30">
        <f>(98973.81-2220-2220-2220-1942.86-631.71-15001.76-260.6)/3/G9</f>
        <v>993.02506666666659</v>
      </c>
      <c r="H11" s="21"/>
      <c r="I11" s="30">
        <f>(81791.11+2491.6-2720*2-2068.38-1574.74)/3/I9</f>
        <v>1044.43875</v>
      </c>
      <c r="J11" s="21"/>
      <c r="K11" s="30">
        <f>(89068.92-2720*3)/3/K9</f>
        <v>1078.7855999999999</v>
      </c>
      <c r="L11" s="21"/>
      <c r="M11" s="29">
        <f>(E11+G11+I11+K11)/4</f>
        <v>996.1184208333334</v>
      </c>
      <c r="N11" s="25"/>
      <c r="O11" s="25"/>
      <c r="P11" s="31">
        <f t="shared" si="0"/>
        <v>127.92611314102578</v>
      </c>
      <c r="Q11" s="32">
        <f t="shared" si="1"/>
        <v>1.1473476694133111</v>
      </c>
    </row>
    <row r="12" spans="1:17" ht="33.75" customHeight="1" x14ac:dyDescent="0.25">
      <c r="A12" s="33" t="s">
        <v>24</v>
      </c>
      <c r="B12" s="34" t="s">
        <v>25</v>
      </c>
      <c r="C12" s="35"/>
      <c r="D12" s="9"/>
      <c r="E12" s="36"/>
      <c r="F12" s="9"/>
      <c r="G12" s="37"/>
      <c r="H12" s="9"/>
      <c r="I12" s="38"/>
      <c r="J12" s="9"/>
      <c r="K12" s="39"/>
      <c r="L12" s="40"/>
      <c r="M12" s="40"/>
      <c r="N12" s="17"/>
      <c r="O12" s="17"/>
      <c r="P12" s="31"/>
      <c r="Q12" s="32"/>
    </row>
    <row r="13" spans="1:17" ht="15.75" x14ac:dyDescent="0.25">
      <c r="A13" s="35"/>
      <c r="B13" s="27" t="s">
        <v>26</v>
      </c>
      <c r="C13" s="41"/>
      <c r="D13" s="9"/>
      <c r="E13" s="36"/>
      <c r="F13" s="9"/>
      <c r="G13" s="37"/>
      <c r="H13" s="9"/>
      <c r="I13" s="38"/>
      <c r="J13" s="9"/>
      <c r="K13" s="42"/>
      <c r="L13" s="43"/>
      <c r="M13" s="43"/>
      <c r="N13" s="44"/>
      <c r="O13" s="44"/>
      <c r="P13" s="31"/>
      <c r="Q13" s="32"/>
    </row>
    <row r="14" spans="1:17" ht="27.75" x14ac:dyDescent="0.25">
      <c r="A14" s="35" t="s">
        <v>27</v>
      </c>
      <c r="B14" s="27" t="s">
        <v>28</v>
      </c>
      <c r="C14" s="25">
        <v>365866</v>
      </c>
      <c r="D14" s="25">
        <v>158563</v>
      </c>
      <c r="E14" s="45">
        <v>179169</v>
      </c>
      <c r="F14" s="25">
        <v>46682</v>
      </c>
      <c r="G14" s="46">
        <v>40396</v>
      </c>
      <c r="H14" s="25">
        <v>25245</v>
      </c>
      <c r="I14" s="45">
        <v>26078</v>
      </c>
      <c r="J14" s="25">
        <v>132607</v>
      </c>
      <c r="K14" s="46">
        <v>130643.58</v>
      </c>
      <c r="L14" s="47">
        <f>D14+F14+H14+J14</f>
        <v>363097</v>
      </c>
      <c r="M14" s="47">
        <f>E14+G14+I14+K14</f>
        <v>376286.58</v>
      </c>
      <c r="N14" s="17">
        <f>M14-L14</f>
        <v>13189.580000000016</v>
      </c>
      <c r="O14" s="48">
        <f>M14/L14</f>
        <v>1.036325224389075</v>
      </c>
      <c r="P14" s="49">
        <f t="shared" si="0"/>
        <v>10420.580000000016</v>
      </c>
      <c r="Q14" s="32">
        <f t="shared" si="1"/>
        <v>1.0284819578752877</v>
      </c>
    </row>
    <row r="15" spans="1:17" ht="15.75" customHeight="1" x14ac:dyDescent="0.25">
      <c r="A15" s="35" t="s">
        <v>29</v>
      </c>
      <c r="B15" s="27" t="s">
        <v>30</v>
      </c>
      <c r="C15" s="25">
        <v>20801</v>
      </c>
      <c r="D15" s="25">
        <v>2969</v>
      </c>
      <c r="E15" s="45">
        <v>2753</v>
      </c>
      <c r="F15" s="25">
        <v>2033</v>
      </c>
      <c r="G15" s="46">
        <v>2101</v>
      </c>
      <c r="H15" s="25">
        <v>1498</v>
      </c>
      <c r="I15" s="45">
        <v>1723</v>
      </c>
      <c r="J15" s="25">
        <v>2755</v>
      </c>
      <c r="K15" s="46">
        <v>2786</v>
      </c>
      <c r="L15" s="47">
        <f>D15+F15+H15+J15</f>
        <v>9255</v>
      </c>
      <c r="M15" s="47">
        <f>E15+G15+I15+K15</f>
        <v>9363</v>
      </c>
      <c r="N15" s="17">
        <f t="shared" ref="N15:N21" si="2">M15-L15</f>
        <v>108</v>
      </c>
      <c r="O15" s="48">
        <f t="shared" ref="O15:O21" si="3">M15/L15</f>
        <v>1.0116693679092383</v>
      </c>
      <c r="P15" s="49">
        <f t="shared" si="0"/>
        <v>-11438</v>
      </c>
      <c r="Q15" s="32">
        <f t="shared" si="1"/>
        <v>0.45012259026008367</v>
      </c>
    </row>
    <row r="16" spans="1:17" ht="15.75" x14ac:dyDescent="0.25">
      <c r="A16" s="35"/>
      <c r="B16" s="27" t="s">
        <v>31</v>
      </c>
      <c r="C16" s="50"/>
      <c r="D16" s="25"/>
      <c r="E16" s="51"/>
      <c r="F16" s="25"/>
      <c r="G16" s="46"/>
      <c r="H16" s="25"/>
      <c r="I16" s="52"/>
      <c r="J16" s="25"/>
      <c r="K16" s="46"/>
      <c r="L16" s="47"/>
      <c r="M16" s="53"/>
      <c r="N16" s="17"/>
      <c r="O16" s="48"/>
      <c r="P16" s="31"/>
      <c r="Q16" s="32"/>
    </row>
    <row r="17" spans="1:17" ht="15.75" x14ac:dyDescent="0.25">
      <c r="A17" s="35" t="s">
        <v>32</v>
      </c>
      <c r="B17" s="54" t="s">
        <v>33</v>
      </c>
      <c r="C17" s="55">
        <v>34993.5</v>
      </c>
      <c r="D17" s="25">
        <v>34980</v>
      </c>
      <c r="E17" s="56">
        <v>35046</v>
      </c>
      <c r="F17" s="25">
        <v>34980</v>
      </c>
      <c r="G17" s="46">
        <v>34998</v>
      </c>
      <c r="H17" s="25">
        <v>34980</v>
      </c>
      <c r="I17" s="45">
        <v>34969</v>
      </c>
      <c r="J17" s="25">
        <v>34980</v>
      </c>
      <c r="K17" s="46">
        <v>35051</v>
      </c>
      <c r="L17" s="47">
        <f t="shared" ref="L17:M19" si="4">(D17+F17+H17+J17)/4</f>
        <v>34980</v>
      </c>
      <c r="M17" s="57">
        <f t="shared" si="4"/>
        <v>35016</v>
      </c>
      <c r="N17" s="49">
        <f t="shared" si="2"/>
        <v>36</v>
      </c>
      <c r="O17" s="48">
        <f t="shared" si="3"/>
        <v>1.0010291595197256</v>
      </c>
      <c r="P17" s="49">
        <f t="shared" si="0"/>
        <v>22.5</v>
      </c>
      <c r="Q17" s="32">
        <f t="shared" si="1"/>
        <v>1.0006429765527884</v>
      </c>
    </row>
    <row r="18" spans="1:17" ht="15.75" x14ac:dyDescent="0.25">
      <c r="A18" s="35" t="s">
        <v>34</v>
      </c>
      <c r="B18" s="54" t="s">
        <v>35</v>
      </c>
      <c r="C18" s="55">
        <v>40</v>
      </c>
      <c r="D18" s="25">
        <v>40</v>
      </c>
      <c r="E18" s="45">
        <v>40</v>
      </c>
      <c r="F18" s="25">
        <v>40</v>
      </c>
      <c r="G18" s="46">
        <v>40</v>
      </c>
      <c r="H18" s="25">
        <v>40</v>
      </c>
      <c r="I18" s="45">
        <v>42</v>
      </c>
      <c r="J18" s="25">
        <v>40</v>
      </c>
      <c r="K18" s="46">
        <v>43</v>
      </c>
      <c r="L18" s="57">
        <f t="shared" si="4"/>
        <v>40</v>
      </c>
      <c r="M18" s="57">
        <f t="shared" si="4"/>
        <v>41.25</v>
      </c>
      <c r="N18" s="49">
        <f t="shared" si="2"/>
        <v>1.25</v>
      </c>
      <c r="O18" s="48">
        <f t="shared" si="3"/>
        <v>1.03125</v>
      </c>
      <c r="P18" s="31">
        <f t="shared" si="0"/>
        <v>1.25</v>
      </c>
      <c r="Q18" s="32">
        <f t="shared" si="1"/>
        <v>1.03125</v>
      </c>
    </row>
    <row r="19" spans="1:17" ht="15.75" x14ac:dyDescent="0.25">
      <c r="A19" s="35" t="s">
        <v>36</v>
      </c>
      <c r="B19" s="54" t="s">
        <v>37</v>
      </c>
      <c r="C19" s="25">
        <v>1</v>
      </c>
      <c r="D19" s="25">
        <v>1</v>
      </c>
      <c r="E19" s="45">
        <v>1</v>
      </c>
      <c r="F19" s="25">
        <v>1</v>
      </c>
      <c r="G19" s="46">
        <v>1</v>
      </c>
      <c r="H19" s="25">
        <v>1</v>
      </c>
      <c r="I19" s="45">
        <v>1</v>
      </c>
      <c r="J19" s="25">
        <v>1</v>
      </c>
      <c r="K19" s="46">
        <v>1</v>
      </c>
      <c r="L19" s="47">
        <f t="shared" si="4"/>
        <v>1</v>
      </c>
      <c r="M19" s="47">
        <f t="shared" si="4"/>
        <v>1</v>
      </c>
      <c r="N19" s="17">
        <f t="shared" si="2"/>
        <v>0</v>
      </c>
      <c r="O19" s="48">
        <f t="shared" si="3"/>
        <v>1</v>
      </c>
      <c r="P19" s="31">
        <f t="shared" si="0"/>
        <v>0</v>
      </c>
      <c r="Q19" s="32">
        <f t="shared" si="1"/>
        <v>1</v>
      </c>
    </row>
    <row r="20" spans="1:17" ht="15.75" x14ac:dyDescent="0.25">
      <c r="A20" s="35" t="s">
        <v>38</v>
      </c>
      <c r="B20" s="54" t="s">
        <v>39</v>
      </c>
      <c r="C20" s="25">
        <v>105</v>
      </c>
      <c r="D20" s="25">
        <v>30</v>
      </c>
      <c r="E20" s="45">
        <v>21</v>
      </c>
      <c r="F20" s="25">
        <v>30</v>
      </c>
      <c r="G20" s="46">
        <v>18</v>
      </c>
      <c r="H20" s="25">
        <v>30</v>
      </c>
      <c r="I20" s="45">
        <v>21</v>
      </c>
      <c r="J20" s="25">
        <v>30</v>
      </c>
      <c r="K20" s="46">
        <v>29</v>
      </c>
      <c r="L20" s="47">
        <f>D20+F20+H20+J20</f>
        <v>120</v>
      </c>
      <c r="M20" s="47">
        <f>E20+G20+I20+K20</f>
        <v>89</v>
      </c>
      <c r="N20" s="17">
        <f t="shared" si="2"/>
        <v>-31</v>
      </c>
      <c r="O20" s="48">
        <f t="shared" si="3"/>
        <v>0.7416666666666667</v>
      </c>
      <c r="P20" s="31">
        <f t="shared" si="0"/>
        <v>-16</v>
      </c>
      <c r="Q20" s="32">
        <f t="shared" si="1"/>
        <v>0.84761904761904761</v>
      </c>
    </row>
    <row r="21" spans="1:17" ht="15.75" x14ac:dyDescent="0.25">
      <c r="A21" s="35" t="s">
        <v>40</v>
      </c>
      <c r="B21" s="54" t="s">
        <v>41</v>
      </c>
      <c r="C21" s="25">
        <v>15</v>
      </c>
      <c r="D21" s="25">
        <v>30</v>
      </c>
      <c r="E21" s="45">
        <v>0</v>
      </c>
      <c r="F21" s="25">
        <v>20</v>
      </c>
      <c r="G21" s="46">
        <v>0</v>
      </c>
      <c r="H21" s="25">
        <v>30</v>
      </c>
      <c r="I21" s="45">
        <v>20</v>
      </c>
      <c r="J21" s="25">
        <v>20</v>
      </c>
      <c r="K21" s="46">
        <v>7</v>
      </c>
      <c r="L21" s="47">
        <f>D21+F21+H21+J21</f>
        <v>100</v>
      </c>
      <c r="M21" s="47">
        <f>E21+G21+I21+K21</f>
        <v>27</v>
      </c>
      <c r="N21" s="17">
        <f t="shared" si="2"/>
        <v>-73</v>
      </c>
      <c r="O21" s="48">
        <f t="shared" si="3"/>
        <v>0.27</v>
      </c>
      <c r="P21" s="31">
        <f t="shared" si="0"/>
        <v>12</v>
      </c>
      <c r="Q21" s="32">
        <f t="shared" si="1"/>
        <v>1.8</v>
      </c>
    </row>
    <row r="22" spans="1:17" ht="33.75" customHeight="1" x14ac:dyDescent="0.25">
      <c r="A22" s="58" t="s">
        <v>42</v>
      </c>
      <c r="B22" s="59" t="s">
        <v>43</v>
      </c>
      <c r="C22" s="60">
        <v>21574.428999999996</v>
      </c>
      <c r="D22" s="60">
        <f>SUM(D23:D39)</f>
        <v>8466.11</v>
      </c>
      <c r="E22" s="61">
        <f t="shared" ref="E22:K22" si="5">SUM(E23:E39)</f>
        <v>9481.3040000000019</v>
      </c>
      <c r="F22" s="60">
        <f t="shared" si="5"/>
        <v>2739.3</v>
      </c>
      <c r="G22" s="60">
        <f t="shared" si="5"/>
        <v>2524.404</v>
      </c>
      <c r="H22" s="60">
        <f>SUM(H23:H39)</f>
        <v>1595.92</v>
      </c>
      <c r="I22" s="61">
        <f>SUM(I23:I39)</f>
        <v>1873.9049999999997</v>
      </c>
      <c r="J22" s="60">
        <f t="shared" si="5"/>
        <v>7259.21</v>
      </c>
      <c r="K22" s="60">
        <f t="shared" si="5"/>
        <v>8444.5069999999996</v>
      </c>
      <c r="L22" s="60">
        <f>SUM(L23:L39)</f>
        <v>20060.539999999994</v>
      </c>
      <c r="M22" s="60">
        <f>SUM(M23:M39)</f>
        <v>22324.119999999995</v>
      </c>
      <c r="N22" s="62">
        <f>M22-L22</f>
        <v>2263.5800000000017</v>
      </c>
      <c r="O22" s="63">
        <f>M22/L22</f>
        <v>1.1128374410658937</v>
      </c>
      <c r="P22" s="62">
        <f>M22-C22</f>
        <v>749.69099999999889</v>
      </c>
      <c r="Q22" s="63">
        <f>M22/C22</f>
        <v>1.0347490540769353</v>
      </c>
    </row>
    <row r="23" spans="1:17" ht="21.75" customHeight="1" x14ac:dyDescent="0.25">
      <c r="A23" s="33" t="s">
        <v>44</v>
      </c>
      <c r="B23" s="27" t="s">
        <v>26</v>
      </c>
      <c r="C23" s="50"/>
      <c r="D23" s="25"/>
      <c r="E23" s="51"/>
      <c r="F23" s="25"/>
      <c r="G23" s="46"/>
      <c r="H23" s="25"/>
      <c r="I23" s="52"/>
      <c r="J23" s="25"/>
      <c r="K23" s="64"/>
      <c r="L23" s="47"/>
      <c r="M23" s="53"/>
      <c r="N23" s="17"/>
      <c r="O23" s="48"/>
      <c r="P23" s="17"/>
      <c r="Q23" s="48"/>
    </row>
    <row r="24" spans="1:17" ht="15.75" x14ac:dyDescent="0.25">
      <c r="A24" s="35"/>
      <c r="B24" s="65" t="s">
        <v>45</v>
      </c>
      <c r="C24" s="66">
        <v>18101.7</v>
      </c>
      <c r="D24" s="25">
        <v>7967.4</v>
      </c>
      <c r="E24" s="67">
        <v>9007</v>
      </c>
      <c r="F24" s="25">
        <v>2358.8000000000002</v>
      </c>
      <c r="G24" s="46">
        <v>2107.3000000000002</v>
      </c>
      <c r="H24" s="66">
        <v>1275.7</v>
      </c>
      <c r="I24" s="45">
        <v>1480.5</v>
      </c>
      <c r="J24" s="25">
        <v>6700.6</v>
      </c>
      <c r="K24" s="46">
        <v>7796.5</v>
      </c>
      <c r="L24" s="47">
        <f>D24+F24+H24+J24</f>
        <v>18302.5</v>
      </c>
      <c r="M24" s="68">
        <f>E24+G24+I24+K24</f>
        <v>20391.3</v>
      </c>
      <c r="N24" s="31">
        <f>M24-L24</f>
        <v>2088.7999999999993</v>
      </c>
      <c r="O24" s="48">
        <f>M24/L24</f>
        <v>1.114126485452807</v>
      </c>
      <c r="P24" s="31">
        <f>M24-C24</f>
        <v>2289.5999999999985</v>
      </c>
      <c r="Q24" s="48">
        <f>M24/C24</f>
        <v>1.1264853577288321</v>
      </c>
    </row>
    <row r="25" spans="1:17" ht="29.25" customHeight="1" x14ac:dyDescent="0.25">
      <c r="A25" s="35"/>
      <c r="B25" s="65" t="s">
        <v>46</v>
      </c>
      <c r="C25" s="25">
        <v>2001.2000000000003</v>
      </c>
      <c r="D25" s="25">
        <v>294.2</v>
      </c>
      <c r="E25" s="45">
        <v>286.7</v>
      </c>
      <c r="F25" s="25">
        <v>200.5</v>
      </c>
      <c r="G25" s="46">
        <v>217.1</v>
      </c>
      <c r="H25" s="25">
        <v>146.30000000000001</v>
      </c>
      <c r="I25" s="45">
        <v>213.7</v>
      </c>
      <c r="J25" s="25">
        <v>272</v>
      </c>
      <c r="K25" s="46">
        <v>350.2</v>
      </c>
      <c r="L25" s="47">
        <f>D25+F25+H25+J25</f>
        <v>913</v>
      </c>
      <c r="M25" s="47">
        <f>E25+G25+I25+K25</f>
        <v>1067.7</v>
      </c>
      <c r="N25" s="31">
        <f t="shared" ref="N25:N39" si="6">M25-L25</f>
        <v>154.70000000000005</v>
      </c>
      <c r="O25" s="48">
        <f t="shared" ref="O25:O39" si="7">M25/L25</f>
        <v>1.1694414019715225</v>
      </c>
      <c r="P25" s="31">
        <f t="shared" ref="P25:P39" si="8">M25-C25</f>
        <v>-933.50000000000023</v>
      </c>
      <c r="Q25" s="48">
        <f t="shared" ref="Q25:Q39" si="9">M25/C25</f>
        <v>0.53352988207075747</v>
      </c>
    </row>
    <row r="26" spans="1:17" ht="26.25" customHeight="1" x14ac:dyDescent="0.25">
      <c r="A26" s="33" t="s">
        <v>47</v>
      </c>
      <c r="B26" s="27" t="s">
        <v>31</v>
      </c>
      <c r="C26" s="50"/>
      <c r="D26" s="25"/>
      <c r="E26" s="51"/>
      <c r="F26" s="25"/>
      <c r="G26" s="46"/>
      <c r="H26" s="25"/>
      <c r="I26" s="52"/>
      <c r="J26" s="25"/>
      <c r="K26" s="46"/>
      <c r="L26" s="47"/>
      <c r="M26" s="53"/>
      <c r="N26" s="31"/>
      <c r="O26" s="48"/>
      <c r="P26" s="31"/>
      <c r="Q26" s="48"/>
    </row>
    <row r="27" spans="1:17" ht="15.75" x14ac:dyDescent="0.25">
      <c r="A27" s="35"/>
      <c r="B27" s="65" t="s">
        <v>48</v>
      </c>
      <c r="C27" s="66">
        <v>226.8</v>
      </c>
      <c r="D27" s="25">
        <v>56.6</v>
      </c>
      <c r="E27" s="45">
        <v>56.8</v>
      </c>
      <c r="F27" s="25">
        <v>56.6</v>
      </c>
      <c r="G27" s="46">
        <v>56.7</v>
      </c>
      <c r="H27" s="25">
        <v>56.6</v>
      </c>
      <c r="I27" s="45">
        <v>56.6</v>
      </c>
      <c r="J27" s="25">
        <v>56.7</v>
      </c>
      <c r="K27" s="46">
        <v>56.8</v>
      </c>
      <c r="L27" s="47">
        <f t="shared" ref="L27:M31" si="10">D27+F27+H27+J27</f>
        <v>226.5</v>
      </c>
      <c r="M27" s="68">
        <f t="shared" si="10"/>
        <v>226.89999999999998</v>
      </c>
      <c r="N27" s="31">
        <f t="shared" si="6"/>
        <v>0.39999999999997726</v>
      </c>
      <c r="O27" s="48">
        <f t="shared" si="7"/>
        <v>1.001766004415011</v>
      </c>
      <c r="P27" s="31">
        <f t="shared" si="8"/>
        <v>9.9999999999965894E-2</v>
      </c>
      <c r="Q27" s="48">
        <f t="shared" si="9"/>
        <v>1.0004409171075836</v>
      </c>
    </row>
    <row r="28" spans="1:17" ht="15.75" customHeight="1" x14ac:dyDescent="0.25">
      <c r="A28" s="35"/>
      <c r="B28" s="65" t="s">
        <v>49</v>
      </c>
      <c r="C28" s="25">
        <v>284.60000000000002</v>
      </c>
      <c r="D28" s="25">
        <v>86.6</v>
      </c>
      <c r="E28" s="45">
        <v>80.8</v>
      </c>
      <c r="F28" s="66">
        <v>62.2</v>
      </c>
      <c r="G28" s="69">
        <v>71</v>
      </c>
      <c r="H28" s="25">
        <v>56</v>
      </c>
      <c r="I28" s="45">
        <v>59.3</v>
      </c>
      <c r="J28" s="66">
        <v>76.5</v>
      </c>
      <c r="K28" s="69">
        <v>77</v>
      </c>
      <c r="L28" s="47">
        <f t="shared" si="10"/>
        <v>281.3</v>
      </c>
      <c r="M28" s="68">
        <f t="shared" si="10"/>
        <v>288.10000000000002</v>
      </c>
      <c r="N28" s="31">
        <f t="shared" si="6"/>
        <v>6.8000000000000114</v>
      </c>
      <c r="O28" s="48">
        <f t="shared" si="7"/>
        <v>1.0241734802701743</v>
      </c>
      <c r="P28" s="31">
        <f t="shared" si="8"/>
        <v>3.5</v>
      </c>
      <c r="Q28" s="48">
        <f t="shared" si="9"/>
        <v>1.0122979620520027</v>
      </c>
    </row>
    <row r="29" spans="1:17" ht="15.75" x14ac:dyDescent="0.25">
      <c r="A29" s="35"/>
      <c r="B29" s="65" t="s">
        <v>50</v>
      </c>
      <c r="C29" s="66">
        <v>63.300000000000004</v>
      </c>
      <c r="D29" s="66">
        <v>16.100000000000001</v>
      </c>
      <c r="E29" s="67">
        <v>17.600000000000001</v>
      </c>
      <c r="F29" s="66">
        <v>16.100000000000001</v>
      </c>
      <c r="G29" s="46">
        <v>17.5</v>
      </c>
      <c r="H29" s="66">
        <v>16.100000000000001</v>
      </c>
      <c r="I29" s="67">
        <v>17.600000000000001</v>
      </c>
      <c r="J29" s="25">
        <v>16</v>
      </c>
      <c r="K29" s="46">
        <v>17.600000000000001</v>
      </c>
      <c r="L29" s="68">
        <f t="shared" si="10"/>
        <v>64.300000000000011</v>
      </c>
      <c r="M29" s="68">
        <f t="shared" si="10"/>
        <v>70.300000000000011</v>
      </c>
      <c r="N29" s="31">
        <f t="shared" si="6"/>
        <v>6</v>
      </c>
      <c r="O29" s="48">
        <f t="shared" si="7"/>
        <v>1.0933125972006221</v>
      </c>
      <c r="P29" s="31">
        <f t="shared" si="8"/>
        <v>7.0000000000000071</v>
      </c>
      <c r="Q29" s="48">
        <f t="shared" si="9"/>
        <v>1.1105845181674567</v>
      </c>
    </row>
    <row r="30" spans="1:17" ht="15.75" x14ac:dyDescent="0.25">
      <c r="A30" s="35"/>
      <c r="B30" s="65" t="s">
        <v>51</v>
      </c>
      <c r="C30" s="25">
        <v>2.8000000000000004E-2</v>
      </c>
      <c r="D30" s="25">
        <v>0.01</v>
      </c>
      <c r="E30" s="45">
        <v>4.0000000000000001E-3</v>
      </c>
      <c r="F30" s="25">
        <v>0</v>
      </c>
      <c r="G30" s="46">
        <v>4.0000000000000001E-3</v>
      </c>
      <c r="H30" s="25">
        <v>0.01</v>
      </c>
      <c r="I30" s="45">
        <v>4.0000000000000001E-3</v>
      </c>
      <c r="J30" s="25">
        <v>0.01</v>
      </c>
      <c r="K30" s="46">
        <v>6.0000000000000001E-3</v>
      </c>
      <c r="L30" s="47">
        <f t="shared" si="10"/>
        <v>0.03</v>
      </c>
      <c r="M30" s="47">
        <f t="shared" si="10"/>
        <v>1.8000000000000002E-2</v>
      </c>
      <c r="N30" s="31">
        <f t="shared" si="6"/>
        <v>-1.1999999999999997E-2</v>
      </c>
      <c r="O30" s="48">
        <f t="shared" si="7"/>
        <v>0.60000000000000009</v>
      </c>
      <c r="P30" s="31">
        <f t="shared" si="8"/>
        <v>-1.0000000000000002E-2</v>
      </c>
      <c r="Q30" s="48">
        <f t="shared" si="9"/>
        <v>0.64285714285714279</v>
      </c>
    </row>
    <row r="31" spans="1:17" ht="15.75" x14ac:dyDescent="0.25">
      <c r="A31" s="9"/>
      <c r="B31" s="65" t="s">
        <v>52</v>
      </c>
      <c r="C31" s="66">
        <v>1E-3</v>
      </c>
      <c r="D31" s="25"/>
      <c r="E31" s="45">
        <v>0</v>
      </c>
      <c r="F31" s="25"/>
      <c r="G31" s="46"/>
      <c r="H31" s="25">
        <v>0.01</v>
      </c>
      <c r="I31" s="45">
        <v>1E-3</v>
      </c>
      <c r="J31" s="25"/>
      <c r="K31" s="46">
        <v>1E-3</v>
      </c>
      <c r="L31" s="47">
        <f t="shared" si="10"/>
        <v>0.01</v>
      </c>
      <c r="M31" s="70">
        <f t="shared" si="10"/>
        <v>2E-3</v>
      </c>
      <c r="N31" s="31">
        <f t="shared" si="6"/>
        <v>-8.0000000000000002E-3</v>
      </c>
      <c r="O31" s="48"/>
      <c r="P31" s="31">
        <f t="shared" si="8"/>
        <v>1E-3</v>
      </c>
      <c r="Q31" s="48"/>
    </row>
    <row r="32" spans="1:17" ht="15.75" x14ac:dyDescent="0.25">
      <c r="A32" s="33" t="s">
        <v>53</v>
      </c>
      <c r="B32" s="54" t="s">
        <v>54</v>
      </c>
      <c r="C32" s="50"/>
      <c r="D32" s="25"/>
      <c r="E32" s="51"/>
      <c r="F32" s="25"/>
      <c r="G32" s="46"/>
      <c r="H32" s="25"/>
      <c r="I32" s="52"/>
      <c r="J32" s="25"/>
      <c r="K32" s="46"/>
      <c r="L32" s="47"/>
      <c r="M32" s="53"/>
      <c r="N32" s="31"/>
      <c r="O32" s="48"/>
      <c r="P32" s="31">
        <f t="shared" si="8"/>
        <v>0</v>
      </c>
      <c r="Q32" s="48"/>
    </row>
    <row r="33" spans="1:17" ht="15.75" x14ac:dyDescent="0.25">
      <c r="A33" s="9"/>
      <c r="B33" s="65" t="s">
        <v>55</v>
      </c>
      <c r="C33" s="66">
        <v>32.1</v>
      </c>
      <c r="D33" s="25">
        <v>8.4</v>
      </c>
      <c r="E33" s="67">
        <v>6.2</v>
      </c>
      <c r="F33" s="25">
        <v>8.4</v>
      </c>
      <c r="G33" s="46">
        <v>8.4</v>
      </c>
      <c r="H33" s="25">
        <v>8.4</v>
      </c>
      <c r="I33" s="45">
        <v>7.3</v>
      </c>
      <c r="J33" s="25">
        <v>8.4</v>
      </c>
      <c r="K33" s="46">
        <v>6.9</v>
      </c>
      <c r="L33" s="47">
        <f>D33+F33+H33+J33</f>
        <v>33.6</v>
      </c>
      <c r="M33" s="68">
        <f>E33+G33+I33+K33</f>
        <v>28.800000000000004</v>
      </c>
      <c r="N33" s="31">
        <f t="shared" si="6"/>
        <v>-4.7999999999999972</v>
      </c>
      <c r="O33" s="48">
        <f t="shared" si="7"/>
        <v>0.85714285714285721</v>
      </c>
      <c r="P33" s="31">
        <f t="shared" si="8"/>
        <v>-3.2999999999999972</v>
      </c>
      <c r="Q33" s="48">
        <f t="shared" si="9"/>
        <v>0.89719626168224309</v>
      </c>
    </row>
    <row r="34" spans="1:17" ht="15.75" x14ac:dyDescent="0.25">
      <c r="A34" s="9"/>
      <c r="B34" s="65" t="s">
        <v>56</v>
      </c>
      <c r="C34" s="66">
        <v>0.30000000000000004</v>
      </c>
      <c r="D34" s="25"/>
      <c r="E34" s="45">
        <v>0.9</v>
      </c>
      <c r="F34" s="25"/>
      <c r="G34" s="46">
        <v>11.3</v>
      </c>
      <c r="H34" s="25"/>
      <c r="I34" s="45">
        <v>6.2</v>
      </c>
      <c r="J34" s="25"/>
      <c r="K34" s="46">
        <v>1.3</v>
      </c>
      <c r="L34" s="47">
        <f>D34+F34+H34+J34</f>
        <v>0</v>
      </c>
      <c r="M34" s="68">
        <f>E34+G34+I34+K34</f>
        <v>19.700000000000003</v>
      </c>
      <c r="N34" s="31">
        <f t="shared" si="6"/>
        <v>19.700000000000003</v>
      </c>
      <c r="O34" s="48"/>
      <c r="P34" s="31">
        <f t="shared" si="8"/>
        <v>19.400000000000002</v>
      </c>
      <c r="Q34" s="48"/>
    </row>
    <row r="35" spans="1:17" ht="15.75" x14ac:dyDescent="0.25">
      <c r="A35" s="9"/>
      <c r="B35" s="65" t="s">
        <v>57</v>
      </c>
      <c r="C35" s="25">
        <v>125.9</v>
      </c>
      <c r="D35" s="66">
        <v>32.5</v>
      </c>
      <c r="E35" s="67">
        <v>22.7</v>
      </c>
      <c r="F35" s="66">
        <v>32.5</v>
      </c>
      <c r="G35" s="69">
        <v>31</v>
      </c>
      <c r="H35" s="66">
        <v>32.5</v>
      </c>
      <c r="I35" s="67">
        <v>26.8</v>
      </c>
      <c r="J35" s="66">
        <v>32.5</v>
      </c>
      <c r="K35" s="69">
        <v>19.100000000000001</v>
      </c>
      <c r="L35" s="47">
        <f t="shared" ref="L35:M39" si="11">D35+F35+H35+J35</f>
        <v>130</v>
      </c>
      <c r="M35" s="47">
        <f t="shared" si="11"/>
        <v>99.6</v>
      </c>
      <c r="N35" s="31">
        <f t="shared" si="6"/>
        <v>-30.400000000000006</v>
      </c>
      <c r="O35" s="48">
        <f t="shared" si="7"/>
        <v>0.76615384615384607</v>
      </c>
      <c r="P35" s="31">
        <f t="shared" si="8"/>
        <v>-26.300000000000011</v>
      </c>
      <c r="Q35" s="48">
        <f t="shared" si="9"/>
        <v>0.79110405083399515</v>
      </c>
    </row>
    <row r="36" spans="1:17" ht="15.75" x14ac:dyDescent="0.25">
      <c r="A36" s="9"/>
      <c r="B36" s="65" t="s">
        <v>58</v>
      </c>
      <c r="C36" s="66">
        <v>9</v>
      </c>
      <c r="D36" s="25">
        <v>1.9</v>
      </c>
      <c r="E36" s="45">
        <v>1.2</v>
      </c>
      <c r="F36" s="25">
        <v>1.8</v>
      </c>
      <c r="G36" s="46">
        <v>2.7</v>
      </c>
      <c r="H36" s="25">
        <v>1.9</v>
      </c>
      <c r="I36" s="45">
        <v>3</v>
      </c>
      <c r="J36" s="25">
        <v>1.9</v>
      </c>
      <c r="K36" s="46">
        <v>2.6</v>
      </c>
      <c r="L36" s="47">
        <f t="shared" si="11"/>
        <v>7.5</v>
      </c>
      <c r="M36" s="68">
        <f t="shared" si="11"/>
        <v>9.5</v>
      </c>
      <c r="N36" s="31">
        <f t="shared" si="6"/>
        <v>2</v>
      </c>
      <c r="O36" s="48">
        <f t="shared" si="7"/>
        <v>1.2666666666666666</v>
      </c>
      <c r="P36" s="31">
        <f t="shared" si="8"/>
        <v>0.5</v>
      </c>
      <c r="Q36" s="48">
        <f t="shared" si="9"/>
        <v>1.0555555555555556</v>
      </c>
    </row>
    <row r="37" spans="1:17" ht="15.75" x14ac:dyDescent="0.25">
      <c r="A37" s="9"/>
      <c r="B37" s="65" t="s">
        <v>59</v>
      </c>
      <c r="C37" s="25">
        <v>92.3</v>
      </c>
      <c r="D37" s="25"/>
      <c r="E37" s="51"/>
      <c r="F37" s="25"/>
      <c r="G37" s="46"/>
      <c r="H37" s="25"/>
      <c r="I37" s="52"/>
      <c r="J37" s="25">
        <v>92.3</v>
      </c>
      <c r="K37" s="46">
        <v>92.6</v>
      </c>
      <c r="L37" s="47">
        <f t="shared" si="11"/>
        <v>92.3</v>
      </c>
      <c r="M37" s="47">
        <f t="shared" si="11"/>
        <v>92.6</v>
      </c>
      <c r="N37" s="31"/>
      <c r="O37" s="48"/>
      <c r="P37" s="31"/>
      <c r="Q37" s="48"/>
    </row>
    <row r="38" spans="1:17" ht="15.75" x14ac:dyDescent="0.25">
      <c r="A38" s="9"/>
      <c r="B38" s="65" t="s">
        <v>60</v>
      </c>
      <c r="C38" s="25">
        <v>628.20000000000005</v>
      </c>
      <c r="D38" s="25"/>
      <c r="E38" s="51"/>
      <c r="F38" s="25"/>
      <c r="G38" s="46"/>
      <c r="H38" s="25"/>
      <c r="I38" s="52"/>
      <c r="J38" s="25"/>
      <c r="K38" s="46"/>
      <c r="L38" s="47"/>
      <c r="M38" s="47">
        <f t="shared" si="11"/>
        <v>0</v>
      </c>
      <c r="N38" s="31"/>
      <c r="O38" s="48"/>
      <c r="P38" s="31"/>
      <c r="Q38" s="48"/>
    </row>
    <row r="39" spans="1:17" ht="15.75" x14ac:dyDescent="0.25">
      <c r="A39" s="9"/>
      <c r="B39" s="65" t="s">
        <v>61</v>
      </c>
      <c r="C39" s="25">
        <v>9</v>
      </c>
      <c r="D39" s="25">
        <v>2.4</v>
      </c>
      <c r="E39" s="45">
        <v>1.4</v>
      </c>
      <c r="F39" s="25">
        <v>2.4</v>
      </c>
      <c r="G39" s="46">
        <v>1.4</v>
      </c>
      <c r="H39" s="25">
        <v>2.4</v>
      </c>
      <c r="I39" s="45">
        <v>2.9</v>
      </c>
      <c r="J39" s="25">
        <v>2.2999999999999998</v>
      </c>
      <c r="K39" s="46">
        <v>23.9</v>
      </c>
      <c r="L39" s="47">
        <f t="shared" si="11"/>
        <v>9.5</v>
      </c>
      <c r="M39" s="47">
        <f t="shared" si="11"/>
        <v>29.599999999999998</v>
      </c>
      <c r="N39" s="31">
        <f t="shared" si="6"/>
        <v>20.099999999999998</v>
      </c>
      <c r="O39" s="48">
        <f t="shared" si="7"/>
        <v>3.1157894736842104</v>
      </c>
      <c r="P39" s="31">
        <f t="shared" si="8"/>
        <v>20.599999999999998</v>
      </c>
      <c r="Q39" s="48">
        <f t="shared" si="9"/>
        <v>3.2888888888888888</v>
      </c>
    </row>
    <row r="40" spans="1:17" ht="30" customHeight="1" x14ac:dyDescent="0.25">
      <c r="A40" s="58" t="s">
        <v>62</v>
      </c>
      <c r="B40" s="59" t="s">
        <v>63</v>
      </c>
      <c r="C40" s="60">
        <v>21469.726000000002</v>
      </c>
      <c r="D40" s="60">
        <f>D41+D49+D53+D61+D60+D86+D87+D88+D89+D90+D91+D92+D93+D94+D95+D96+D97+D98+D112+D120+D127+D128+D132</f>
        <v>7447.5499999999984</v>
      </c>
      <c r="E40" s="61">
        <f t="shared" ref="E40:K40" si="12">E41+E49+E53+E61+E60+E86+E87+E88+E89+E90+E91+E92+E93+E94+E95+E96+E97+E98+E112+E120+E127+E128+E132</f>
        <v>8001.03</v>
      </c>
      <c r="F40" s="60">
        <f t="shared" si="12"/>
        <v>3384.95</v>
      </c>
      <c r="G40" s="60">
        <f t="shared" si="12"/>
        <v>3285.3399999999992</v>
      </c>
      <c r="H40" s="60">
        <f>H41+H49+H53+H61+H60+H86+H87+H88+H89+H90+H91+H92+H93+H94+H95+H96+H97+H98+H112+H120+H127+H128+H132</f>
        <v>2584.4499999999998</v>
      </c>
      <c r="I40" s="61">
        <f>I41+I49+I53+I61+I60+I86+I87+I88+I89+I90+I91+I92+I93+I94+I95+I96+I97+I98+I112+I120+I127+I128+I132</f>
        <v>2789.4300000000012</v>
      </c>
      <c r="J40" s="60">
        <f t="shared" si="12"/>
        <v>6495.2499999999982</v>
      </c>
      <c r="K40" s="60">
        <f t="shared" si="12"/>
        <v>7923.5300000000007</v>
      </c>
      <c r="L40" s="60">
        <f>L41+L49+L53+L61+L60+L86+L87+L88+L89+L90+L91+L92+L93+L94+L95+L96+L97+L98+L112+L120+L127+L128+L132</f>
        <v>19912.200000000004</v>
      </c>
      <c r="M40" s="60">
        <f>M41+M49+M53+M61+M60+M86+M87+M88+M89+M90+M91+M92+M93+M94+M95+M96+M97+M98+M112+M120+M127+M128+M132</f>
        <v>21999.33</v>
      </c>
      <c r="N40" s="62">
        <f>M40-L40</f>
        <v>2087.1299999999974</v>
      </c>
      <c r="O40" s="63">
        <f>M40/L40</f>
        <v>1.1048166450718653</v>
      </c>
      <c r="P40" s="62">
        <f>M40-C40</f>
        <v>529.60399999999936</v>
      </c>
      <c r="Q40" s="63">
        <f>M40/C40</f>
        <v>1.0246674782901282</v>
      </c>
    </row>
    <row r="41" spans="1:17" ht="15.75" customHeight="1" x14ac:dyDescent="0.25">
      <c r="A41" s="33" t="s">
        <v>64</v>
      </c>
      <c r="B41" s="19" t="s">
        <v>65</v>
      </c>
      <c r="C41" s="71">
        <v>2648.15</v>
      </c>
      <c r="D41" s="72">
        <f>SUM(D42:D48)</f>
        <v>768.59999999999991</v>
      </c>
      <c r="E41" s="73">
        <f>SUM(E42:E48)</f>
        <v>657.5</v>
      </c>
      <c r="F41" s="72">
        <f>SUM(F42:F48)</f>
        <v>767.69999999999982</v>
      </c>
      <c r="G41" s="74">
        <f>SUM(G42:G48)</f>
        <v>743.4</v>
      </c>
      <c r="H41" s="72">
        <f t="shared" ref="H41:M41" si="13">SUM(H42:H48)</f>
        <v>767.80000000000007</v>
      </c>
      <c r="I41" s="75">
        <f t="shared" si="13"/>
        <v>723.4</v>
      </c>
      <c r="J41" s="72">
        <f t="shared" si="13"/>
        <v>813.3</v>
      </c>
      <c r="K41" s="74">
        <f t="shared" si="13"/>
        <v>772.4</v>
      </c>
      <c r="L41" s="76">
        <f t="shared" si="13"/>
        <v>3117.4</v>
      </c>
      <c r="M41" s="77">
        <f t="shared" si="13"/>
        <v>2896.7000000000003</v>
      </c>
      <c r="N41" s="78">
        <f>M41-L41</f>
        <v>-220.69999999999982</v>
      </c>
      <c r="O41" s="79">
        <f>M41/L41</f>
        <v>0.9292038236992366</v>
      </c>
      <c r="P41" s="78">
        <f>M41-C41</f>
        <v>248.55000000000018</v>
      </c>
      <c r="Q41" s="79">
        <f>M41/C41</f>
        <v>1.0938579763230936</v>
      </c>
    </row>
    <row r="42" spans="1:17" ht="15.75" customHeight="1" x14ac:dyDescent="0.25">
      <c r="A42" s="80" t="s">
        <v>66</v>
      </c>
      <c r="B42" s="81" t="s">
        <v>67</v>
      </c>
      <c r="C42" s="25">
        <v>2074.1</v>
      </c>
      <c r="D42" s="25">
        <v>609.5</v>
      </c>
      <c r="E42" s="67">
        <v>523.5</v>
      </c>
      <c r="F42" s="66">
        <v>608.9</v>
      </c>
      <c r="G42" s="67">
        <v>589.9</v>
      </c>
      <c r="H42" s="66">
        <v>609</v>
      </c>
      <c r="I42" s="67">
        <v>574.1</v>
      </c>
      <c r="J42" s="25">
        <v>609.5</v>
      </c>
      <c r="K42" s="46">
        <f>615.4-K43</f>
        <v>544</v>
      </c>
      <c r="L42" s="47">
        <f>D42+F42+H42+J42</f>
        <v>2436.9</v>
      </c>
      <c r="M42" s="47">
        <f>E42+G42+I42+K42</f>
        <v>2231.5</v>
      </c>
      <c r="N42" s="17">
        <f t="shared" ref="N42:N53" si="14">M42-L42</f>
        <v>-205.40000000000009</v>
      </c>
      <c r="O42" s="48">
        <f t="shared" ref="O42:O53" si="15">M42/L42</f>
        <v>0.91571258566211167</v>
      </c>
      <c r="P42" s="17">
        <f t="shared" ref="P42:P105" si="16">M42-C42</f>
        <v>157.40000000000009</v>
      </c>
      <c r="Q42" s="48">
        <f t="shared" ref="Q42:Q105" si="17">M42/C42</f>
        <v>1.0758883371100718</v>
      </c>
    </row>
    <row r="43" spans="1:17" ht="15.75" x14ac:dyDescent="0.25">
      <c r="A43" s="80" t="s">
        <v>68</v>
      </c>
      <c r="B43" s="81" t="s">
        <v>69</v>
      </c>
      <c r="C43" s="25">
        <v>36.1</v>
      </c>
      <c r="D43" s="25"/>
      <c r="E43" s="51"/>
      <c r="F43" s="25"/>
      <c r="G43" s="46"/>
      <c r="H43" s="25"/>
      <c r="I43" s="52"/>
      <c r="J43" s="25">
        <v>36.1</v>
      </c>
      <c r="K43" s="46">
        <f>46.9+24.5</f>
        <v>71.400000000000006</v>
      </c>
      <c r="L43" s="47">
        <f>D43+F43+H43+J43</f>
        <v>36.1</v>
      </c>
      <c r="M43" s="47">
        <f>E43+G43+I43+K43</f>
        <v>71.400000000000006</v>
      </c>
      <c r="N43" s="17"/>
      <c r="O43" s="48"/>
      <c r="P43" s="17"/>
      <c r="Q43" s="48"/>
    </row>
    <row r="44" spans="1:17" ht="15.75" x14ac:dyDescent="0.25">
      <c r="A44" s="80" t="s">
        <v>70</v>
      </c>
      <c r="B44" s="81" t="s">
        <v>71</v>
      </c>
      <c r="C44" s="66">
        <v>490.3</v>
      </c>
      <c r="D44" s="66">
        <v>146.80000000000001</v>
      </c>
      <c r="E44" s="67">
        <v>124.1</v>
      </c>
      <c r="F44" s="66">
        <v>146.69999999999999</v>
      </c>
      <c r="G44" s="46">
        <v>140.30000000000001</v>
      </c>
      <c r="H44" s="66">
        <v>146.80000000000001</v>
      </c>
      <c r="I44" s="45">
        <v>137.5</v>
      </c>
      <c r="J44" s="66">
        <v>155.5</v>
      </c>
      <c r="K44" s="69">
        <v>146.1</v>
      </c>
      <c r="L44" s="47">
        <f t="shared" ref="L44:M48" si="18">D44+F44+H44+J44</f>
        <v>595.79999999999995</v>
      </c>
      <c r="M44" s="68">
        <f t="shared" si="18"/>
        <v>548</v>
      </c>
      <c r="N44" s="17">
        <f t="shared" si="14"/>
        <v>-47.799999999999955</v>
      </c>
      <c r="O44" s="48">
        <f t="shared" si="15"/>
        <v>0.91977173548170532</v>
      </c>
      <c r="P44" s="17">
        <f t="shared" si="16"/>
        <v>57.699999999999989</v>
      </c>
      <c r="Q44" s="48">
        <f t="shared" si="17"/>
        <v>1.117683051193147</v>
      </c>
    </row>
    <row r="45" spans="1:17" ht="31.5" x14ac:dyDescent="0.25">
      <c r="A45" s="80" t="s">
        <v>72</v>
      </c>
      <c r="B45" s="81" t="s">
        <v>73</v>
      </c>
      <c r="C45" s="66">
        <v>46.1</v>
      </c>
      <c r="D45" s="66">
        <v>11.6</v>
      </c>
      <c r="E45" s="67">
        <f>9.3</f>
        <v>9.3000000000000007</v>
      </c>
      <c r="F45" s="66">
        <v>11.5</v>
      </c>
      <c r="G45" s="69">
        <v>12.4</v>
      </c>
      <c r="H45" s="66">
        <v>11.6</v>
      </c>
      <c r="I45" s="67">
        <v>11.3</v>
      </c>
      <c r="J45" s="25">
        <v>11.6</v>
      </c>
      <c r="K45" s="46">
        <v>10.5</v>
      </c>
      <c r="L45" s="47">
        <f t="shared" si="18"/>
        <v>46.300000000000004</v>
      </c>
      <c r="M45" s="68">
        <f t="shared" si="18"/>
        <v>43.5</v>
      </c>
      <c r="N45" s="17">
        <f t="shared" si="14"/>
        <v>-2.8000000000000043</v>
      </c>
      <c r="O45" s="48">
        <f t="shared" si="15"/>
        <v>0.93952483801295883</v>
      </c>
      <c r="P45" s="17">
        <f t="shared" si="16"/>
        <v>-2.6000000000000014</v>
      </c>
      <c r="Q45" s="48">
        <f t="shared" si="17"/>
        <v>0.94360086767895879</v>
      </c>
    </row>
    <row r="46" spans="1:17" ht="15.75" customHeight="1" x14ac:dyDescent="0.25">
      <c r="A46" s="80" t="s">
        <v>74</v>
      </c>
      <c r="B46" s="81" t="s">
        <v>75</v>
      </c>
      <c r="C46" s="25">
        <v>1.1000000000000001</v>
      </c>
      <c r="D46" s="25">
        <v>0.3</v>
      </c>
      <c r="E46" s="45">
        <v>0.3</v>
      </c>
      <c r="F46" s="25">
        <v>0.3</v>
      </c>
      <c r="G46" s="46">
        <v>0.3</v>
      </c>
      <c r="H46" s="25">
        <v>0.2</v>
      </c>
      <c r="I46" s="45">
        <v>0.2</v>
      </c>
      <c r="J46" s="25">
        <v>0.3</v>
      </c>
      <c r="K46" s="46">
        <v>0.3</v>
      </c>
      <c r="L46" s="47">
        <f t="shared" si="18"/>
        <v>1.1000000000000001</v>
      </c>
      <c r="M46" s="47">
        <f t="shared" si="18"/>
        <v>1.1000000000000001</v>
      </c>
      <c r="N46" s="17">
        <f t="shared" si="14"/>
        <v>0</v>
      </c>
      <c r="O46" s="48">
        <f t="shared" si="15"/>
        <v>1</v>
      </c>
      <c r="P46" s="17">
        <f t="shared" si="16"/>
        <v>0</v>
      </c>
      <c r="Q46" s="48">
        <f t="shared" si="17"/>
        <v>1</v>
      </c>
    </row>
    <row r="47" spans="1:17" ht="15.75" customHeight="1" x14ac:dyDescent="0.25">
      <c r="A47" s="80" t="s">
        <v>76</v>
      </c>
      <c r="B47" s="81" t="s">
        <v>77</v>
      </c>
      <c r="C47" s="25">
        <v>0.4</v>
      </c>
      <c r="D47" s="25">
        <v>0.3</v>
      </c>
      <c r="E47" s="45">
        <v>0.2</v>
      </c>
      <c r="F47" s="25">
        <v>0.3</v>
      </c>
      <c r="G47" s="46">
        <v>0.4</v>
      </c>
      <c r="H47" s="25">
        <v>0.2</v>
      </c>
      <c r="I47" s="45">
        <v>0.3</v>
      </c>
      <c r="J47" s="25">
        <v>0.3</v>
      </c>
      <c r="K47" s="46">
        <v>0</v>
      </c>
      <c r="L47" s="47">
        <f t="shared" si="18"/>
        <v>1.1000000000000001</v>
      </c>
      <c r="M47" s="47">
        <f t="shared" si="18"/>
        <v>0.90000000000000013</v>
      </c>
      <c r="N47" s="17">
        <f t="shared" si="14"/>
        <v>-0.19999999999999996</v>
      </c>
      <c r="O47" s="48">
        <f t="shared" si="15"/>
        <v>0.81818181818181823</v>
      </c>
      <c r="P47" s="17">
        <f t="shared" si="16"/>
        <v>0.50000000000000011</v>
      </c>
      <c r="Q47" s="48"/>
    </row>
    <row r="48" spans="1:17" ht="15.75" x14ac:dyDescent="0.25">
      <c r="A48" s="80" t="s">
        <v>78</v>
      </c>
      <c r="B48" s="81" t="s">
        <v>79</v>
      </c>
      <c r="C48" s="66">
        <v>0.05</v>
      </c>
      <c r="D48" s="25">
        <v>0.1</v>
      </c>
      <c r="E48" s="45">
        <v>0.1</v>
      </c>
      <c r="F48" s="25"/>
      <c r="G48" s="46">
        <v>0.1</v>
      </c>
      <c r="H48" s="25"/>
      <c r="I48" s="45">
        <v>0</v>
      </c>
      <c r="J48" s="25"/>
      <c r="K48" s="46">
        <v>0.1</v>
      </c>
      <c r="L48" s="47">
        <f t="shared" si="18"/>
        <v>0.1</v>
      </c>
      <c r="M48" s="68">
        <f t="shared" si="18"/>
        <v>0.30000000000000004</v>
      </c>
      <c r="N48" s="17">
        <f t="shared" si="14"/>
        <v>0.20000000000000004</v>
      </c>
      <c r="O48" s="48">
        <f t="shared" si="15"/>
        <v>3.0000000000000004</v>
      </c>
      <c r="P48" s="17">
        <f t="shared" si="16"/>
        <v>0.25000000000000006</v>
      </c>
      <c r="Q48" s="48">
        <f t="shared" si="17"/>
        <v>6.0000000000000009</v>
      </c>
    </row>
    <row r="49" spans="1:17" ht="37.5" customHeight="1" x14ac:dyDescent="0.25">
      <c r="A49" s="33" t="s">
        <v>80</v>
      </c>
      <c r="B49" s="82" t="s">
        <v>81</v>
      </c>
      <c r="C49" s="71">
        <v>561.20000000000005</v>
      </c>
      <c r="D49" s="71">
        <f>SUM(D50:D52)</f>
        <v>223.8</v>
      </c>
      <c r="E49" s="73">
        <f>SUM(E50:E52)</f>
        <v>221.70000000000002</v>
      </c>
      <c r="F49" s="71">
        <f>SUM(F50:F52)</f>
        <v>92.4</v>
      </c>
      <c r="G49" s="83">
        <f>SUM(G50:G52)</f>
        <v>90.5</v>
      </c>
      <c r="H49" s="71">
        <f t="shared" ref="H49:M49" si="19">SUM(H50:H52)</f>
        <v>58.900000000000006</v>
      </c>
      <c r="I49" s="73">
        <f t="shared" si="19"/>
        <v>64.900000000000006</v>
      </c>
      <c r="J49" s="71">
        <f t="shared" si="19"/>
        <v>154.9</v>
      </c>
      <c r="K49" s="83">
        <f t="shared" si="19"/>
        <v>188.10000000000002</v>
      </c>
      <c r="L49" s="47">
        <f t="shared" si="19"/>
        <v>530</v>
      </c>
      <c r="M49" s="47">
        <f t="shared" si="19"/>
        <v>565.20000000000005</v>
      </c>
      <c r="N49" s="78">
        <f t="shared" si="14"/>
        <v>35.200000000000045</v>
      </c>
      <c r="O49" s="79">
        <f t="shared" si="15"/>
        <v>1.0664150943396227</v>
      </c>
      <c r="P49" s="78">
        <f t="shared" si="16"/>
        <v>4</v>
      </c>
      <c r="Q49" s="79">
        <f t="shared" si="17"/>
        <v>1.0071275837491092</v>
      </c>
    </row>
    <row r="50" spans="1:17" ht="15.75" customHeight="1" x14ac:dyDescent="0.25">
      <c r="A50" s="80" t="s">
        <v>82</v>
      </c>
      <c r="B50" s="81" t="s">
        <v>83</v>
      </c>
      <c r="C50" s="25">
        <v>0</v>
      </c>
      <c r="D50" s="25"/>
      <c r="E50" s="51"/>
      <c r="F50" s="25"/>
      <c r="G50" s="46"/>
      <c r="H50" s="25"/>
      <c r="I50" s="52"/>
      <c r="J50" s="25"/>
      <c r="K50" s="46"/>
      <c r="L50" s="47">
        <f t="shared" ref="L50:M52" si="20">D50+F50+H50+J50</f>
        <v>0</v>
      </c>
      <c r="M50" s="47">
        <f t="shared" si="20"/>
        <v>0</v>
      </c>
      <c r="N50" s="17"/>
      <c r="O50" s="48"/>
      <c r="P50" s="78"/>
      <c r="Q50" s="79"/>
    </row>
    <row r="51" spans="1:17" ht="15.75" customHeight="1" x14ac:dyDescent="0.25">
      <c r="A51" s="80" t="s">
        <v>84</v>
      </c>
      <c r="B51" s="81" t="s">
        <v>85</v>
      </c>
      <c r="C51" s="66">
        <v>129.80000000000001</v>
      </c>
      <c r="D51" s="66">
        <v>41.7</v>
      </c>
      <c r="E51" s="45">
        <v>27.4</v>
      </c>
      <c r="F51" s="25">
        <v>23.1</v>
      </c>
      <c r="G51" s="46">
        <v>23.1</v>
      </c>
      <c r="H51" s="25">
        <v>19.2</v>
      </c>
      <c r="I51" s="45">
        <v>19.7</v>
      </c>
      <c r="J51" s="25">
        <v>33.4</v>
      </c>
      <c r="K51" s="46">
        <v>22.3</v>
      </c>
      <c r="L51" s="47">
        <f t="shared" si="20"/>
        <v>117.4</v>
      </c>
      <c r="M51" s="68">
        <f t="shared" si="20"/>
        <v>92.5</v>
      </c>
      <c r="N51" s="17">
        <f t="shared" si="14"/>
        <v>-24.900000000000006</v>
      </c>
      <c r="O51" s="48">
        <f t="shared" si="15"/>
        <v>0.7879045996592845</v>
      </c>
      <c r="P51" s="17">
        <f t="shared" si="16"/>
        <v>-37.300000000000011</v>
      </c>
      <c r="Q51" s="48">
        <f t="shared" si="17"/>
        <v>0.71263482280431423</v>
      </c>
    </row>
    <row r="52" spans="1:17" ht="60.75" customHeight="1" x14ac:dyDescent="0.25">
      <c r="A52" s="80" t="s">
        <v>86</v>
      </c>
      <c r="B52" s="81" t="s">
        <v>87</v>
      </c>
      <c r="C52" s="66">
        <v>431.4</v>
      </c>
      <c r="D52" s="25">
        <v>182.1</v>
      </c>
      <c r="E52" s="67">
        <v>194.3</v>
      </c>
      <c r="F52" s="84">
        <v>69.3</v>
      </c>
      <c r="G52" s="46">
        <v>67.400000000000006</v>
      </c>
      <c r="H52" s="25">
        <v>39.700000000000003</v>
      </c>
      <c r="I52" s="67">
        <v>45.2</v>
      </c>
      <c r="J52" s="25">
        <v>121.5</v>
      </c>
      <c r="K52" s="46">
        <v>165.8</v>
      </c>
      <c r="L52" s="47">
        <f t="shared" si="20"/>
        <v>412.59999999999997</v>
      </c>
      <c r="M52" s="68">
        <f t="shared" si="20"/>
        <v>472.70000000000005</v>
      </c>
      <c r="N52" s="17">
        <f t="shared" si="14"/>
        <v>60.10000000000008</v>
      </c>
      <c r="O52" s="48">
        <f t="shared" si="15"/>
        <v>1.1456616577799323</v>
      </c>
      <c r="P52" s="17">
        <f t="shared" si="16"/>
        <v>41.300000000000068</v>
      </c>
      <c r="Q52" s="48">
        <f t="shared" si="17"/>
        <v>1.0957348168752898</v>
      </c>
    </row>
    <row r="53" spans="1:17" ht="15.75" x14ac:dyDescent="0.2">
      <c r="A53" s="85" t="s">
        <v>88</v>
      </c>
      <c r="B53" s="82" t="s">
        <v>89</v>
      </c>
      <c r="C53" s="82">
        <v>14474.4</v>
      </c>
      <c r="D53" s="82">
        <f>SUM(D55:D59)</f>
        <v>5904</v>
      </c>
      <c r="E53" s="86">
        <f>SUM(E55:E59)</f>
        <v>6600.2999999999993</v>
      </c>
      <c r="F53" s="82">
        <f>SUM(F55:F59)</f>
        <v>1992.8999999999999</v>
      </c>
      <c r="G53" s="87">
        <f>SUM(G55:G59)</f>
        <v>1947.1999999999998</v>
      </c>
      <c r="H53" s="82">
        <f t="shared" ref="H53:M53" si="21">SUM(H55:H59)</f>
        <v>1231.5</v>
      </c>
      <c r="I53" s="86">
        <f t="shared" si="21"/>
        <v>1516</v>
      </c>
      <c r="J53" s="82">
        <f t="shared" si="21"/>
        <v>4956.2</v>
      </c>
      <c r="K53" s="87">
        <f t="shared" si="21"/>
        <v>6119.7</v>
      </c>
      <c r="L53" s="88">
        <f t="shared" si="21"/>
        <v>14084.6</v>
      </c>
      <c r="M53" s="89">
        <f t="shared" si="21"/>
        <v>16183.199999999999</v>
      </c>
      <c r="N53" s="78">
        <f t="shared" si="14"/>
        <v>2098.5999999999985</v>
      </c>
      <c r="O53" s="79">
        <f t="shared" si="15"/>
        <v>1.1489996166025302</v>
      </c>
      <c r="P53" s="78">
        <f t="shared" si="16"/>
        <v>1708.7999999999993</v>
      </c>
      <c r="Q53" s="79">
        <f t="shared" si="17"/>
        <v>1.1180567070137621</v>
      </c>
    </row>
    <row r="54" spans="1:17" ht="15.75" x14ac:dyDescent="0.25">
      <c r="A54" s="9"/>
      <c r="B54" s="90" t="s">
        <v>90</v>
      </c>
      <c r="C54" s="50"/>
      <c r="D54" s="25"/>
      <c r="E54" s="51"/>
      <c r="F54" s="25"/>
      <c r="G54" s="46"/>
      <c r="H54" s="25"/>
      <c r="I54" s="52"/>
      <c r="J54" s="25"/>
      <c r="K54" s="46"/>
      <c r="L54" s="47"/>
      <c r="M54" s="53"/>
      <c r="N54" s="78"/>
      <c r="O54" s="79"/>
      <c r="P54" s="78"/>
      <c r="Q54" s="79"/>
    </row>
    <row r="55" spans="1:17" ht="93.75" customHeight="1" x14ac:dyDescent="0.25">
      <c r="A55" s="80" t="s">
        <v>91</v>
      </c>
      <c r="B55" s="81" t="s">
        <v>92</v>
      </c>
      <c r="C55" s="66">
        <v>7157</v>
      </c>
      <c r="D55" s="25">
        <v>3337.9</v>
      </c>
      <c r="E55" s="45">
        <v>4083.1</v>
      </c>
      <c r="F55" s="25">
        <v>595.20000000000005</v>
      </c>
      <c r="G55" s="46">
        <v>561.79999999999995</v>
      </c>
      <c r="H55" s="25">
        <v>194.2</v>
      </c>
      <c r="I55" s="45">
        <v>253.6</v>
      </c>
      <c r="J55" s="25">
        <v>2538.1999999999998</v>
      </c>
      <c r="K55" s="46">
        <v>3249.5</v>
      </c>
      <c r="L55" s="47">
        <f t="shared" ref="L55:M60" si="22">D55+F55+H55+J55</f>
        <v>6665.5</v>
      </c>
      <c r="M55" s="68">
        <f t="shared" si="22"/>
        <v>8148</v>
      </c>
      <c r="N55" s="17">
        <f t="shared" ref="N55:N61" si="23">M55-L55</f>
        <v>1482.5</v>
      </c>
      <c r="O55" s="48">
        <f t="shared" ref="O55:O61" si="24">M55/L55</f>
        <v>1.2224139224364263</v>
      </c>
      <c r="P55" s="17">
        <f t="shared" si="16"/>
        <v>991</v>
      </c>
      <c r="Q55" s="48">
        <f t="shared" si="17"/>
        <v>1.1384658376414698</v>
      </c>
    </row>
    <row r="56" spans="1:17" ht="15.75" x14ac:dyDescent="0.25">
      <c r="A56" s="80" t="s">
        <v>93</v>
      </c>
      <c r="B56" s="91" t="s">
        <v>94</v>
      </c>
      <c r="C56" s="25">
        <v>7226</v>
      </c>
      <c r="D56" s="66">
        <v>2543.5</v>
      </c>
      <c r="E56" s="67">
        <v>2497.6999999999998</v>
      </c>
      <c r="F56" s="25">
        <v>1375.1</v>
      </c>
      <c r="G56" s="46">
        <f>1339.1+31.8</f>
        <v>1370.8999999999999</v>
      </c>
      <c r="H56" s="25">
        <v>1014.6</v>
      </c>
      <c r="I56" s="67">
        <v>1242.7</v>
      </c>
      <c r="J56" s="25">
        <v>2395.1999999999998</v>
      </c>
      <c r="K56" s="69">
        <v>2844</v>
      </c>
      <c r="L56" s="47">
        <f t="shared" si="22"/>
        <v>7328.4</v>
      </c>
      <c r="M56" s="47">
        <f t="shared" si="22"/>
        <v>7955.2999999999993</v>
      </c>
      <c r="N56" s="17">
        <f t="shared" si="23"/>
        <v>626.89999999999964</v>
      </c>
      <c r="O56" s="48">
        <f t="shared" si="24"/>
        <v>1.0855439113585503</v>
      </c>
      <c r="P56" s="17">
        <f t="shared" si="16"/>
        <v>729.29999999999927</v>
      </c>
      <c r="Q56" s="48">
        <f t="shared" si="17"/>
        <v>1.1009272073069469</v>
      </c>
    </row>
    <row r="57" spans="1:17" ht="15.75" x14ac:dyDescent="0.25">
      <c r="A57" s="80" t="s">
        <v>95</v>
      </c>
      <c r="B57" s="81" t="s">
        <v>96</v>
      </c>
      <c r="C57" s="25">
        <v>19.299999999999997</v>
      </c>
      <c r="D57" s="25">
        <v>5</v>
      </c>
      <c r="E57" s="45">
        <v>4.8</v>
      </c>
      <c r="F57" s="25">
        <v>5</v>
      </c>
      <c r="G57" s="46">
        <v>6.1</v>
      </c>
      <c r="H57" s="25">
        <v>5</v>
      </c>
      <c r="I57" s="45">
        <v>6.1</v>
      </c>
      <c r="J57" s="25">
        <v>5.0999999999999996</v>
      </c>
      <c r="K57" s="46">
        <v>5.8</v>
      </c>
      <c r="L57" s="47">
        <f t="shared" si="22"/>
        <v>20.100000000000001</v>
      </c>
      <c r="M57" s="68">
        <f t="shared" si="22"/>
        <v>22.8</v>
      </c>
      <c r="N57" s="17">
        <f t="shared" si="23"/>
        <v>2.6999999999999993</v>
      </c>
      <c r="O57" s="48">
        <f t="shared" si="24"/>
        <v>1.1343283582089552</v>
      </c>
      <c r="P57" s="17">
        <f t="shared" si="16"/>
        <v>3.5000000000000036</v>
      </c>
      <c r="Q57" s="48">
        <f t="shared" si="17"/>
        <v>1.1813471502590676</v>
      </c>
    </row>
    <row r="58" spans="1:17" ht="15.75" x14ac:dyDescent="0.25">
      <c r="A58" s="80" t="s">
        <v>97</v>
      </c>
      <c r="B58" s="81" t="s">
        <v>98</v>
      </c>
      <c r="C58" s="25">
        <v>0.90000000000000013</v>
      </c>
      <c r="D58" s="25">
        <v>0.3</v>
      </c>
      <c r="E58" s="45">
        <v>0.2</v>
      </c>
      <c r="F58" s="25">
        <v>0.3</v>
      </c>
      <c r="G58" s="46">
        <v>0.2</v>
      </c>
      <c r="H58" s="25">
        <v>0.3</v>
      </c>
      <c r="I58" s="45">
        <v>0.2</v>
      </c>
      <c r="J58" s="25">
        <v>0.3</v>
      </c>
      <c r="K58" s="46">
        <v>1.4</v>
      </c>
      <c r="L58" s="47">
        <f t="shared" si="22"/>
        <v>1.2</v>
      </c>
      <c r="M58" s="47">
        <f t="shared" si="22"/>
        <v>2</v>
      </c>
      <c r="N58" s="17">
        <f t="shared" si="23"/>
        <v>0.8</v>
      </c>
      <c r="O58" s="48">
        <f t="shared" si="24"/>
        <v>1.6666666666666667</v>
      </c>
      <c r="P58" s="17">
        <f t="shared" si="16"/>
        <v>1.0999999999999999</v>
      </c>
      <c r="Q58" s="48">
        <f t="shared" si="17"/>
        <v>2.2222222222222219</v>
      </c>
    </row>
    <row r="59" spans="1:17" ht="30" customHeight="1" x14ac:dyDescent="0.25">
      <c r="A59" s="80" t="s">
        <v>99</v>
      </c>
      <c r="B59" s="92" t="s">
        <v>100</v>
      </c>
      <c r="C59" s="25">
        <v>71.2</v>
      </c>
      <c r="D59" s="25">
        <v>17.3</v>
      </c>
      <c r="E59" s="46">
        <v>14.5</v>
      </c>
      <c r="F59" s="25">
        <v>17.3</v>
      </c>
      <c r="G59" s="46">
        <v>8.1999999999999993</v>
      </c>
      <c r="H59" s="25">
        <v>17.399999999999999</v>
      </c>
      <c r="I59" s="45">
        <v>13.4</v>
      </c>
      <c r="J59" s="25">
        <v>17.399999999999999</v>
      </c>
      <c r="K59" s="46">
        <f>17.9+1.1</f>
        <v>19</v>
      </c>
      <c r="L59" s="68">
        <f t="shared" si="22"/>
        <v>69.400000000000006</v>
      </c>
      <c r="M59" s="68">
        <f t="shared" si="22"/>
        <v>55.1</v>
      </c>
      <c r="N59" s="17">
        <f t="shared" si="23"/>
        <v>-14.300000000000004</v>
      </c>
      <c r="O59" s="48">
        <f t="shared" si="24"/>
        <v>0.79394812680115268</v>
      </c>
      <c r="P59" s="17">
        <f t="shared" si="16"/>
        <v>-16.100000000000001</v>
      </c>
      <c r="Q59" s="48">
        <f t="shared" si="17"/>
        <v>0.773876404494382</v>
      </c>
    </row>
    <row r="60" spans="1:17" ht="32.25" customHeight="1" x14ac:dyDescent="0.25">
      <c r="A60" s="33" t="s">
        <v>101</v>
      </c>
      <c r="B60" s="93" t="s">
        <v>102</v>
      </c>
      <c r="C60" s="94">
        <v>113.80000000000001</v>
      </c>
      <c r="D60" s="95">
        <v>23.5</v>
      </c>
      <c r="E60" s="96">
        <v>20.8</v>
      </c>
      <c r="F60" s="95">
        <v>60.8</v>
      </c>
      <c r="G60" s="97">
        <v>23.3</v>
      </c>
      <c r="H60" s="95">
        <v>68.099999999999994</v>
      </c>
      <c r="I60" s="97">
        <v>26</v>
      </c>
      <c r="J60" s="25">
        <v>15.6</v>
      </c>
      <c r="K60" s="46">
        <v>18.600000000000001</v>
      </c>
      <c r="L60" s="98">
        <f t="shared" si="22"/>
        <v>167.99999999999997</v>
      </c>
      <c r="M60" s="99">
        <f t="shared" si="22"/>
        <v>88.699999999999989</v>
      </c>
      <c r="N60" s="78">
        <f t="shared" si="23"/>
        <v>-79.299999999999983</v>
      </c>
      <c r="O60" s="79">
        <f t="shared" si="24"/>
        <v>0.52797619047619049</v>
      </c>
      <c r="P60" s="78">
        <f t="shared" si="16"/>
        <v>-25.100000000000023</v>
      </c>
      <c r="Q60" s="79">
        <f t="shared" si="17"/>
        <v>0.77943760984182764</v>
      </c>
    </row>
    <row r="61" spans="1:17" ht="57" customHeight="1" x14ac:dyDescent="0.25">
      <c r="A61" s="33" t="s">
        <v>103</v>
      </c>
      <c r="B61" s="82" t="s">
        <v>104</v>
      </c>
      <c r="C61" s="71">
        <v>31.640000000000004</v>
      </c>
      <c r="D61" s="71">
        <f>SUM(D62:D85)</f>
        <v>13.149999999999997</v>
      </c>
      <c r="E61" s="73">
        <f>SUM(E62:E85)</f>
        <v>8.0299999999999994</v>
      </c>
      <c r="F61" s="71">
        <f>SUM(F62:F85)</f>
        <v>6.2499999999999991</v>
      </c>
      <c r="G61" s="83">
        <f>SUM(G62:G85)</f>
        <v>9.5399999999999991</v>
      </c>
      <c r="H61" s="71">
        <f t="shared" ref="H61:M61" si="25">SUM(H62:H85)</f>
        <v>8.6499999999999986</v>
      </c>
      <c r="I61" s="73">
        <f t="shared" si="25"/>
        <v>11.03</v>
      </c>
      <c r="J61" s="71">
        <f t="shared" si="25"/>
        <v>19.650000000000002</v>
      </c>
      <c r="K61" s="83">
        <f t="shared" si="25"/>
        <v>23.530000000000005</v>
      </c>
      <c r="L61" s="77">
        <f t="shared" si="25"/>
        <v>47.699999999999996</v>
      </c>
      <c r="M61" s="77">
        <f t="shared" si="25"/>
        <v>52.13</v>
      </c>
      <c r="N61" s="78">
        <f t="shared" si="23"/>
        <v>4.4300000000000068</v>
      </c>
      <c r="O61" s="79">
        <f t="shared" si="24"/>
        <v>1.0928721174004195</v>
      </c>
      <c r="P61" s="78">
        <f t="shared" si="16"/>
        <v>20.49</v>
      </c>
      <c r="Q61" s="79">
        <f t="shared" si="17"/>
        <v>1.6475979772439948</v>
      </c>
    </row>
    <row r="62" spans="1:17" ht="22.5" customHeight="1" x14ac:dyDescent="0.25">
      <c r="A62" s="80" t="s">
        <v>105</v>
      </c>
      <c r="B62" s="81" t="s">
        <v>106</v>
      </c>
      <c r="C62" s="66">
        <v>0.3</v>
      </c>
      <c r="D62" s="25"/>
      <c r="E62" s="51"/>
      <c r="F62" s="25"/>
      <c r="G62" s="46"/>
      <c r="H62" s="25">
        <v>1.1000000000000001</v>
      </c>
      <c r="I62" s="45">
        <v>0</v>
      </c>
      <c r="J62" s="25">
        <v>0.4</v>
      </c>
      <c r="K62" s="46">
        <v>0.4</v>
      </c>
      <c r="L62" s="47">
        <f>D62+F62+H62+J62</f>
        <v>1.5</v>
      </c>
      <c r="M62" s="68">
        <f>E62+G62+I62+K62</f>
        <v>0.4</v>
      </c>
      <c r="N62" s="78"/>
      <c r="O62" s="79"/>
      <c r="P62" s="17">
        <f t="shared" si="16"/>
        <v>0.10000000000000003</v>
      </c>
      <c r="Q62" s="48"/>
    </row>
    <row r="63" spans="1:17" ht="24.75" customHeight="1" x14ac:dyDescent="0.25">
      <c r="A63" s="80" t="s">
        <v>107</v>
      </c>
      <c r="B63" s="81" t="s">
        <v>108</v>
      </c>
      <c r="C63" s="25">
        <v>0.9</v>
      </c>
      <c r="D63" s="25">
        <v>0.5</v>
      </c>
      <c r="E63" s="45">
        <v>0.7</v>
      </c>
      <c r="F63" s="25">
        <v>0.4</v>
      </c>
      <c r="G63" s="46">
        <v>0.4</v>
      </c>
      <c r="H63" s="25">
        <v>0.3</v>
      </c>
      <c r="I63" s="45">
        <v>0.1</v>
      </c>
      <c r="J63" s="25">
        <v>0.5</v>
      </c>
      <c r="K63" s="46">
        <v>0.2</v>
      </c>
      <c r="L63" s="47">
        <f t="shared" ref="L63:M84" si="26">D63+F63+H63+J63</f>
        <v>1.7</v>
      </c>
      <c r="M63" s="47">
        <f t="shared" si="26"/>
        <v>1.4000000000000001</v>
      </c>
      <c r="N63" s="17">
        <f>M63-L63</f>
        <v>-0.29999999999999982</v>
      </c>
      <c r="O63" s="48">
        <f>M63/L63</f>
        <v>0.82352941176470595</v>
      </c>
      <c r="P63" s="17">
        <f t="shared" si="16"/>
        <v>0.50000000000000011</v>
      </c>
      <c r="Q63" s="48">
        <f t="shared" si="17"/>
        <v>1.5555555555555556</v>
      </c>
    </row>
    <row r="64" spans="1:17" ht="21.75" customHeight="1" x14ac:dyDescent="0.25">
      <c r="A64" s="80" t="s">
        <v>109</v>
      </c>
      <c r="B64" s="81" t="s">
        <v>110</v>
      </c>
      <c r="C64" s="25">
        <v>0.5</v>
      </c>
      <c r="D64" s="25">
        <v>0.2</v>
      </c>
      <c r="E64" s="45">
        <v>0.2</v>
      </c>
      <c r="F64" s="25">
        <v>0.2</v>
      </c>
      <c r="G64" s="46">
        <v>0.2</v>
      </c>
      <c r="H64" s="25">
        <v>0.1</v>
      </c>
      <c r="I64" s="45">
        <v>0.1</v>
      </c>
      <c r="J64" s="25">
        <v>0.2</v>
      </c>
      <c r="K64" s="46">
        <v>0.3</v>
      </c>
      <c r="L64" s="47">
        <f t="shared" si="26"/>
        <v>0.7</v>
      </c>
      <c r="M64" s="47">
        <f t="shared" si="26"/>
        <v>0.8</v>
      </c>
      <c r="N64" s="17">
        <f t="shared" ref="N64:N84" si="27">M64-L64</f>
        <v>0.10000000000000009</v>
      </c>
      <c r="O64" s="48">
        <f t="shared" ref="O64:O84" si="28">M64/L64</f>
        <v>1.142857142857143</v>
      </c>
      <c r="P64" s="17">
        <f t="shared" si="16"/>
        <v>0.30000000000000004</v>
      </c>
      <c r="Q64" s="48">
        <f t="shared" si="17"/>
        <v>1.6</v>
      </c>
    </row>
    <row r="65" spans="1:17" ht="21.75" customHeight="1" x14ac:dyDescent="0.25">
      <c r="A65" s="80" t="s">
        <v>111</v>
      </c>
      <c r="B65" s="81" t="s">
        <v>112</v>
      </c>
      <c r="C65" s="25">
        <v>5.9</v>
      </c>
      <c r="D65" s="66">
        <v>6</v>
      </c>
      <c r="E65" s="45">
        <v>2.2000000000000002</v>
      </c>
      <c r="F65" s="25"/>
      <c r="G65" s="46"/>
      <c r="H65" s="25"/>
      <c r="I65" s="45">
        <f>2.2+3.7</f>
        <v>5.9</v>
      </c>
      <c r="J65" s="66">
        <v>12.5</v>
      </c>
      <c r="K65" s="69">
        <v>5.3</v>
      </c>
      <c r="L65" s="47">
        <f t="shared" si="26"/>
        <v>18.5</v>
      </c>
      <c r="M65" s="47">
        <f t="shared" si="26"/>
        <v>13.400000000000002</v>
      </c>
      <c r="N65" s="17">
        <f>M65-L65</f>
        <v>-5.0999999999999979</v>
      </c>
      <c r="O65" s="48">
        <f>M65/L65</f>
        <v>0.72432432432432448</v>
      </c>
      <c r="P65" s="17"/>
      <c r="Q65" s="48"/>
    </row>
    <row r="66" spans="1:17" ht="76.5" customHeight="1" x14ac:dyDescent="0.25">
      <c r="A66" s="80" t="s">
        <v>113</v>
      </c>
      <c r="B66" s="81" t="s">
        <v>114</v>
      </c>
      <c r="C66" s="25">
        <v>2.5</v>
      </c>
      <c r="D66" s="25">
        <v>1.5</v>
      </c>
      <c r="E66" s="45">
        <v>0.3</v>
      </c>
      <c r="F66" s="25"/>
      <c r="G66" s="69">
        <v>3.2</v>
      </c>
      <c r="H66" s="25">
        <v>2</v>
      </c>
      <c r="I66" s="45">
        <v>0.1</v>
      </c>
      <c r="J66" s="25"/>
      <c r="K66" s="46">
        <v>11.5</v>
      </c>
      <c r="L66" s="47">
        <f t="shared" si="26"/>
        <v>3.5</v>
      </c>
      <c r="M66" s="47">
        <f t="shared" si="26"/>
        <v>15.1</v>
      </c>
      <c r="N66" s="17">
        <f t="shared" si="27"/>
        <v>11.6</v>
      </c>
      <c r="O66" s="48">
        <f t="shared" si="28"/>
        <v>4.3142857142857141</v>
      </c>
      <c r="P66" s="17">
        <f t="shared" si="16"/>
        <v>12.6</v>
      </c>
      <c r="Q66" s="48"/>
    </row>
    <row r="67" spans="1:17" ht="15.75" x14ac:dyDescent="0.25">
      <c r="A67" s="80" t="s">
        <v>115</v>
      </c>
      <c r="B67" s="81" t="s">
        <v>116</v>
      </c>
      <c r="C67" s="25">
        <v>1.2</v>
      </c>
      <c r="D67" s="25">
        <v>0.3</v>
      </c>
      <c r="E67" s="45">
        <v>0.2</v>
      </c>
      <c r="F67" s="25">
        <v>0.3</v>
      </c>
      <c r="G67" s="46">
        <v>0.2</v>
      </c>
      <c r="H67" s="25">
        <v>0.3</v>
      </c>
      <c r="I67" s="45">
        <v>0.3</v>
      </c>
      <c r="J67" s="25">
        <v>0.3</v>
      </c>
      <c r="K67" s="46">
        <v>0.3</v>
      </c>
      <c r="L67" s="47">
        <f t="shared" si="26"/>
        <v>1.2</v>
      </c>
      <c r="M67" s="68">
        <f t="shared" si="26"/>
        <v>1</v>
      </c>
      <c r="N67" s="17">
        <f t="shared" si="27"/>
        <v>-0.19999999999999996</v>
      </c>
      <c r="O67" s="48">
        <f t="shared" si="28"/>
        <v>0.83333333333333337</v>
      </c>
      <c r="P67" s="17">
        <f t="shared" si="16"/>
        <v>-0.19999999999999996</v>
      </c>
      <c r="Q67" s="48">
        <f t="shared" si="17"/>
        <v>0.83333333333333337</v>
      </c>
    </row>
    <row r="68" spans="1:17" ht="15.75" x14ac:dyDescent="0.25">
      <c r="A68" s="80" t="s">
        <v>117</v>
      </c>
      <c r="B68" s="81" t="s">
        <v>118</v>
      </c>
      <c r="C68" s="25">
        <v>5.6999999999999993</v>
      </c>
      <c r="D68" s="25">
        <v>1.3</v>
      </c>
      <c r="E68" s="45">
        <v>1.3</v>
      </c>
      <c r="F68" s="25">
        <v>1.4</v>
      </c>
      <c r="G68" s="46">
        <v>1.7</v>
      </c>
      <c r="H68" s="25">
        <v>1.3</v>
      </c>
      <c r="I68" s="45">
        <v>1.1000000000000001</v>
      </c>
      <c r="J68" s="25">
        <v>1.4</v>
      </c>
      <c r="K68" s="46">
        <v>1.9</v>
      </c>
      <c r="L68" s="47">
        <f t="shared" si="26"/>
        <v>5.4</v>
      </c>
      <c r="M68" s="68">
        <f t="shared" si="26"/>
        <v>6</v>
      </c>
      <c r="N68" s="17">
        <f t="shared" si="27"/>
        <v>0.59999999999999964</v>
      </c>
      <c r="O68" s="48">
        <f t="shared" si="28"/>
        <v>1.1111111111111109</v>
      </c>
      <c r="P68" s="17">
        <f t="shared" si="16"/>
        <v>0.30000000000000071</v>
      </c>
      <c r="Q68" s="48">
        <f t="shared" si="17"/>
        <v>1.0526315789473686</v>
      </c>
    </row>
    <row r="69" spans="1:17" ht="15.75" x14ac:dyDescent="0.25">
      <c r="A69" s="80" t="s">
        <v>119</v>
      </c>
      <c r="B69" s="81" t="s">
        <v>120</v>
      </c>
      <c r="C69" s="25">
        <v>0.04</v>
      </c>
      <c r="D69" s="25">
        <v>0.05</v>
      </c>
      <c r="E69" s="45">
        <v>0.03</v>
      </c>
      <c r="F69" s="25">
        <v>0.05</v>
      </c>
      <c r="G69" s="46">
        <v>0.04</v>
      </c>
      <c r="H69" s="25">
        <v>0.05</v>
      </c>
      <c r="I69" s="45">
        <v>0.03</v>
      </c>
      <c r="J69" s="25">
        <v>0.05</v>
      </c>
      <c r="K69" s="46">
        <v>0.03</v>
      </c>
      <c r="L69" s="100">
        <f t="shared" si="26"/>
        <v>0.2</v>
      </c>
      <c r="M69" s="68">
        <f t="shared" si="26"/>
        <v>0.13</v>
      </c>
      <c r="N69" s="17">
        <f t="shared" si="27"/>
        <v>-7.0000000000000007E-2</v>
      </c>
      <c r="O69" s="48">
        <f t="shared" si="28"/>
        <v>0.65</v>
      </c>
      <c r="P69" s="17">
        <f t="shared" si="16"/>
        <v>0.09</v>
      </c>
      <c r="Q69" s="48">
        <f t="shared" si="17"/>
        <v>3.25</v>
      </c>
    </row>
    <row r="70" spans="1:17" ht="15.75" x14ac:dyDescent="0.25">
      <c r="A70" s="80" t="s">
        <v>121</v>
      </c>
      <c r="B70" s="81" t="s">
        <v>122</v>
      </c>
      <c r="C70" s="66">
        <v>0.5</v>
      </c>
      <c r="D70" s="25">
        <v>0.1</v>
      </c>
      <c r="E70" s="45">
        <v>0</v>
      </c>
      <c r="F70" s="25">
        <v>0.2</v>
      </c>
      <c r="G70" s="46">
        <v>0.3</v>
      </c>
      <c r="H70" s="25">
        <v>0.1</v>
      </c>
      <c r="I70" s="45"/>
      <c r="J70" s="25">
        <v>0.2</v>
      </c>
      <c r="K70" s="46">
        <v>0.3</v>
      </c>
      <c r="L70" s="47">
        <f t="shared" si="26"/>
        <v>0.60000000000000009</v>
      </c>
      <c r="M70" s="68">
        <f t="shared" si="26"/>
        <v>0.6</v>
      </c>
      <c r="N70" s="17">
        <f t="shared" si="27"/>
        <v>0</v>
      </c>
      <c r="O70" s="48">
        <f t="shared" si="28"/>
        <v>0.99999999999999978</v>
      </c>
      <c r="P70" s="17">
        <f t="shared" si="16"/>
        <v>9.9999999999999978E-2</v>
      </c>
      <c r="Q70" s="48"/>
    </row>
    <row r="71" spans="1:17" ht="15.75" x14ac:dyDescent="0.25">
      <c r="A71" s="80" t="s">
        <v>123</v>
      </c>
      <c r="B71" s="81" t="s">
        <v>124</v>
      </c>
      <c r="C71" s="25">
        <v>0.1</v>
      </c>
      <c r="D71" s="25"/>
      <c r="E71" s="51"/>
      <c r="F71" s="25">
        <v>0.1</v>
      </c>
      <c r="G71" s="46">
        <v>0.1</v>
      </c>
      <c r="H71" s="25"/>
      <c r="I71" s="45">
        <f>0.1-0.1</f>
        <v>0</v>
      </c>
      <c r="J71" s="25"/>
      <c r="K71" s="46">
        <v>0</v>
      </c>
      <c r="L71" s="47">
        <f t="shared" si="26"/>
        <v>0.1</v>
      </c>
      <c r="M71" s="47">
        <f t="shared" si="26"/>
        <v>0.1</v>
      </c>
      <c r="N71" s="17">
        <f t="shared" si="27"/>
        <v>0</v>
      </c>
      <c r="O71" s="48"/>
      <c r="P71" s="17">
        <f t="shared" si="16"/>
        <v>0</v>
      </c>
      <c r="Q71" s="48"/>
    </row>
    <row r="72" spans="1:17" ht="15.75" x14ac:dyDescent="0.25">
      <c r="A72" s="80" t="s">
        <v>125</v>
      </c>
      <c r="B72" s="81" t="s">
        <v>126</v>
      </c>
      <c r="C72" s="66">
        <v>0.5</v>
      </c>
      <c r="D72" s="25">
        <v>0.1</v>
      </c>
      <c r="E72" s="45">
        <v>0.1</v>
      </c>
      <c r="F72" s="25">
        <v>0.2</v>
      </c>
      <c r="G72" s="46">
        <v>0.2</v>
      </c>
      <c r="H72" s="25">
        <v>0.1</v>
      </c>
      <c r="I72" s="45">
        <v>0.1</v>
      </c>
      <c r="J72" s="25">
        <v>0.1</v>
      </c>
      <c r="K72" s="46">
        <v>0.1</v>
      </c>
      <c r="L72" s="47">
        <f t="shared" si="26"/>
        <v>0.5</v>
      </c>
      <c r="M72" s="68">
        <f t="shared" si="26"/>
        <v>0.5</v>
      </c>
      <c r="N72" s="17">
        <f t="shared" si="27"/>
        <v>0</v>
      </c>
      <c r="O72" s="48">
        <f t="shared" si="28"/>
        <v>1</v>
      </c>
      <c r="P72" s="17">
        <f t="shared" si="16"/>
        <v>0</v>
      </c>
      <c r="Q72" s="48">
        <f t="shared" si="17"/>
        <v>1</v>
      </c>
    </row>
    <row r="73" spans="1:17" ht="15.75" x14ac:dyDescent="0.25">
      <c r="A73" s="80" t="s">
        <v>127</v>
      </c>
      <c r="B73" s="81" t="s">
        <v>128</v>
      </c>
      <c r="C73" s="25">
        <v>0</v>
      </c>
      <c r="D73" s="25"/>
      <c r="E73" s="51"/>
      <c r="F73" s="25"/>
      <c r="G73" s="46"/>
      <c r="H73" s="25"/>
      <c r="I73" s="52"/>
      <c r="J73" s="25"/>
      <c r="K73" s="46"/>
      <c r="L73" s="47">
        <f t="shared" si="26"/>
        <v>0</v>
      </c>
      <c r="M73" s="47">
        <f t="shared" si="26"/>
        <v>0</v>
      </c>
      <c r="N73" s="17">
        <f t="shared" si="27"/>
        <v>0</v>
      </c>
      <c r="O73" s="48"/>
      <c r="P73" s="17">
        <f t="shared" si="16"/>
        <v>0</v>
      </c>
      <c r="Q73" s="48"/>
    </row>
    <row r="74" spans="1:17" ht="15.75" x14ac:dyDescent="0.25">
      <c r="A74" s="80" t="s">
        <v>129</v>
      </c>
      <c r="B74" s="81" t="s">
        <v>130</v>
      </c>
      <c r="C74" s="25">
        <v>4</v>
      </c>
      <c r="D74" s="25">
        <v>1.1000000000000001</v>
      </c>
      <c r="E74" s="45">
        <v>0.9</v>
      </c>
      <c r="F74" s="25">
        <v>1</v>
      </c>
      <c r="G74" s="46">
        <v>0.7</v>
      </c>
      <c r="H74" s="25">
        <v>1.1000000000000001</v>
      </c>
      <c r="I74" s="45">
        <v>0.7</v>
      </c>
      <c r="J74" s="25">
        <v>1</v>
      </c>
      <c r="K74" s="46">
        <v>0.7</v>
      </c>
      <c r="L74" s="47">
        <f t="shared" si="26"/>
        <v>4.2</v>
      </c>
      <c r="M74" s="68">
        <f t="shared" si="26"/>
        <v>3</v>
      </c>
      <c r="N74" s="17">
        <f t="shared" si="27"/>
        <v>-1.2000000000000002</v>
      </c>
      <c r="O74" s="48">
        <f t="shared" si="28"/>
        <v>0.7142857142857143</v>
      </c>
      <c r="P74" s="17">
        <f t="shared" si="16"/>
        <v>-1</v>
      </c>
      <c r="Q74" s="48">
        <f t="shared" si="17"/>
        <v>0.75</v>
      </c>
    </row>
    <row r="75" spans="1:17" ht="15.75" x14ac:dyDescent="0.25">
      <c r="A75" s="80" t="s">
        <v>131</v>
      </c>
      <c r="B75" s="81" t="s">
        <v>132</v>
      </c>
      <c r="C75" s="66">
        <v>0.30000000000000004</v>
      </c>
      <c r="D75" s="25">
        <v>0.1</v>
      </c>
      <c r="E75" s="45">
        <v>0.1</v>
      </c>
      <c r="F75" s="25">
        <v>0.1</v>
      </c>
      <c r="G75" s="46">
        <v>0.1</v>
      </c>
      <c r="H75" s="25"/>
      <c r="I75" s="45">
        <v>0.1</v>
      </c>
      <c r="J75" s="25">
        <v>0.1</v>
      </c>
      <c r="K75" s="46">
        <v>0.1</v>
      </c>
      <c r="L75" s="47">
        <f t="shared" si="26"/>
        <v>0.30000000000000004</v>
      </c>
      <c r="M75" s="68">
        <f t="shared" si="26"/>
        <v>0.4</v>
      </c>
      <c r="N75" s="17">
        <f t="shared" si="27"/>
        <v>9.9999999999999978E-2</v>
      </c>
      <c r="O75" s="48">
        <f t="shared" si="28"/>
        <v>1.3333333333333333</v>
      </c>
      <c r="P75" s="17">
        <f t="shared" si="16"/>
        <v>9.9999999999999978E-2</v>
      </c>
      <c r="Q75" s="48">
        <f t="shared" si="17"/>
        <v>1.3333333333333333</v>
      </c>
    </row>
    <row r="76" spans="1:17" ht="15.75" x14ac:dyDescent="0.25">
      <c r="A76" s="80" t="s">
        <v>133</v>
      </c>
      <c r="B76" s="81" t="s">
        <v>134</v>
      </c>
      <c r="C76" s="25">
        <v>0.30000000000000004</v>
      </c>
      <c r="D76" s="25">
        <v>0.1</v>
      </c>
      <c r="E76" s="45">
        <v>0.1</v>
      </c>
      <c r="F76" s="25">
        <v>0.1</v>
      </c>
      <c r="G76" s="46">
        <v>0.1</v>
      </c>
      <c r="H76" s="25"/>
      <c r="I76" s="52"/>
      <c r="J76" s="25">
        <v>0.1</v>
      </c>
      <c r="K76" s="46">
        <v>0.1</v>
      </c>
      <c r="L76" s="47">
        <f t="shared" si="26"/>
        <v>0.30000000000000004</v>
      </c>
      <c r="M76" s="47">
        <f t="shared" si="26"/>
        <v>0.30000000000000004</v>
      </c>
      <c r="N76" s="17">
        <f t="shared" si="27"/>
        <v>0</v>
      </c>
      <c r="O76" s="48">
        <f t="shared" si="28"/>
        <v>1</v>
      </c>
      <c r="P76" s="17">
        <f t="shared" si="16"/>
        <v>0</v>
      </c>
      <c r="Q76" s="48">
        <f t="shared" si="17"/>
        <v>1</v>
      </c>
    </row>
    <row r="77" spans="1:17" ht="15.75" x14ac:dyDescent="0.25">
      <c r="A77" s="80" t="s">
        <v>135</v>
      </c>
      <c r="B77" s="81" t="s">
        <v>136</v>
      </c>
      <c r="C77" s="25">
        <v>0.60000000000000009</v>
      </c>
      <c r="D77" s="25">
        <v>0.2</v>
      </c>
      <c r="E77" s="45">
        <v>0</v>
      </c>
      <c r="F77" s="25">
        <v>0.1</v>
      </c>
      <c r="G77" s="46">
        <v>0.3</v>
      </c>
      <c r="H77" s="25">
        <v>0</v>
      </c>
      <c r="I77" s="45">
        <v>0.2</v>
      </c>
      <c r="J77" s="25">
        <v>0.2</v>
      </c>
      <c r="K77" s="46">
        <v>0.2</v>
      </c>
      <c r="L77" s="47">
        <f t="shared" si="26"/>
        <v>0.5</v>
      </c>
      <c r="M77" s="47">
        <f t="shared" si="26"/>
        <v>0.7</v>
      </c>
      <c r="N77" s="17">
        <f t="shared" si="27"/>
        <v>0.19999999999999996</v>
      </c>
      <c r="O77" s="48">
        <f t="shared" si="28"/>
        <v>1.4</v>
      </c>
      <c r="P77" s="17">
        <f t="shared" si="16"/>
        <v>9.9999999999999867E-2</v>
      </c>
      <c r="Q77" s="48">
        <f t="shared" si="17"/>
        <v>1.1666666666666665</v>
      </c>
    </row>
    <row r="78" spans="1:17" ht="15.75" x14ac:dyDescent="0.25">
      <c r="A78" s="80" t="s">
        <v>137</v>
      </c>
      <c r="B78" s="81" t="s">
        <v>138</v>
      </c>
      <c r="C78" s="25">
        <v>0.1</v>
      </c>
      <c r="D78" s="25"/>
      <c r="E78" s="51"/>
      <c r="F78" s="25"/>
      <c r="G78" s="46"/>
      <c r="H78" s="25">
        <v>0.1</v>
      </c>
      <c r="I78" s="52"/>
      <c r="J78" s="25"/>
      <c r="K78" s="46"/>
      <c r="L78" s="47">
        <f t="shared" si="26"/>
        <v>0.1</v>
      </c>
      <c r="M78" s="47">
        <f t="shared" si="26"/>
        <v>0</v>
      </c>
      <c r="N78" s="17">
        <f t="shared" si="27"/>
        <v>-0.1</v>
      </c>
      <c r="O78" s="48"/>
      <c r="P78" s="17">
        <f t="shared" si="16"/>
        <v>-0.1</v>
      </c>
      <c r="Q78" s="48"/>
    </row>
    <row r="79" spans="1:17" ht="15.75" x14ac:dyDescent="0.25">
      <c r="A79" s="80" t="s">
        <v>139</v>
      </c>
      <c r="B79" s="81" t="s">
        <v>140</v>
      </c>
      <c r="C79" s="25">
        <v>1</v>
      </c>
      <c r="D79" s="25">
        <v>0.2</v>
      </c>
      <c r="E79" s="45">
        <v>0.3</v>
      </c>
      <c r="F79" s="25">
        <v>0.3</v>
      </c>
      <c r="G79" s="46">
        <v>0.2</v>
      </c>
      <c r="H79" s="25">
        <v>0.2</v>
      </c>
      <c r="I79" s="45">
        <v>0.3</v>
      </c>
      <c r="J79" s="25">
        <v>0.3</v>
      </c>
      <c r="K79" s="46">
        <v>0.3</v>
      </c>
      <c r="L79" s="47">
        <f t="shared" si="26"/>
        <v>1</v>
      </c>
      <c r="M79" s="47">
        <f t="shared" si="26"/>
        <v>1.1000000000000001</v>
      </c>
      <c r="N79" s="17">
        <f t="shared" si="27"/>
        <v>0.10000000000000009</v>
      </c>
      <c r="O79" s="48">
        <f t="shared" si="28"/>
        <v>1.1000000000000001</v>
      </c>
      <c r="P79" s="17">
        <f t="shared" si="16"/>
        <v>0.10000000000000009</v>
      </c>
      <c r="Q79" s="48">
        <f t="shared" si="17"/>
        <v>1.1000000000000001</v>
      </c>
    </row>
    <row r="80" spans="1:17" ht="15.75" x14ac:dyDescent="0.25">
      <c r="A80" s="80" t="s">
        <v>141</v>
      </c>
      <c r="B80" s="81" t="s">
        <v>142</v>
      </c>
      <c r="C80" s="25">
        <v>2.9000000000000004</v>
      </c>
      <c r="D80" s="25">
        <v>0.7</v>
      </c>
      <c r="E80" s="45">
        <v>0.7</v>
      </c>
      <c r="F80" s="25">
        <v>0.7</v>
      </c>
      <c r="G80" s="46">
        <v>0.7</v>
      </c>
      <c r="H80" s="25">
        <v>0.8</v>
      </c>
      <c r="I80" s="45">
        <v>0.8</v>
      </c>
      <c r="J80" s="25">
        <v>0.7</v>
      </c>
      <c r="K80" s="46">
        <v>0.7</v>
      </c>
      <c r="L80" s="47">
        <f t="shared" si="26"/>
        <v>2.9000000000000004</v>
      </c>
      <c r="M80" s="47">
        <f t="shared" si="26"/>
        <v>2.9000000000000004</v>
      </c>
      <c r="N80" s="17">
        <f t="shared" si="27"/>
        <v>0</v>
      </c>
      <c r="O80" s="48">
        <f t="shared" si="28"/>
        <v>1</v>
      </c>
      <c r="P80" s="17">
        <f t="shared" si="16"/>
        <v>0</v>
      </c>
      <c r="Q80" s="48">
        <f t="shared" si="17"/>
        <v>1</v>
      </c>
    </row>
    <row r="81" spans="1:17" ht="15.75" x14ac:dyDescent="0.25">
      <c r="A81" s="80" t="s">
        <v>143</v>
      </c>
      <c r="B81" s="81" t="s">
        <v>144</v>
      </c>
      <c r="C81" s="25">
        <v>0</v>
      </c>
      <c r="D81" s="25"/>
      <c r="E81" s="51"/>
      <c r="F81" s="25"/>
      <c r="G81" s="46"/>
      <c r="H81" s="25"/>
      <c r="I81" s="45">
        <v>0.5</v>
      </c>
      <c r="J81" s="25">
        <v>0.3</v>
      </c>
      <c r="K81" s="46">
        <v>0</v>
      </c>
      <c r="L81" s="47">
        <f t="shared" si="26"/>
        <v>0.3</v>
      </c>
      <c r="M81" s="47">
        <f t="shared" si="26"/>
        <v>0.5</v>
      </c>
      <c r="N81" s="17"/>
      <c r="O81" s="48"/>
      <c r="P81" s="17"/>
      <c r="Q81" s="48"/>
    </row>
    <row r="82" spans="1:17" ht="15.75" x14ac:dyDescent="0.25">
      <c r="A82" s="80" t="s">
        <v>145</v>
      </c>
      <c r="B82" s="81" t="s">
        <v>146</v>
      </c>
      <c r="C82" s="25">
        <v>1.2000000000000002</v>
      </c>
      <c r="D82" s="25">
        <v>0.1</v>
      </c>
      <c r="E82" s="45">
        <v>0.3</v>
      </c>
      <c r="F82" s="25">
        <v>0.3</v>
      </c>
      <c r="G82" s="46">
        <v>0.5</v>
      </c>
      <c r="H82" s="25">
        <v>0.5</v>
      </c>
      <c r="I82" s="45">
        <v>0.1</v>
      </c>
      <c r="J82" s="25">
        <v>0.5</v>
      </c>
      <c r="K82" s="46">
        <v>0.5</v>
      </c>
      <c r="L82" s="47">
        <f t="shared" si="26"/>
        <v>1.4</v>
      </c>
      <c r="M82" s="47">
        <f t="shared" si="26"/>
        <v>1.4</v>
      </c>
      <c r="N82" s="17">
        <f t="shared" si="27"/>
        <v>0</v>
      </c>
      <c r="O82" s="48">
        <f t="shared" si="28"/>
        <v>1</v>
      </c>
      <c r="P82" s="17">
        <f t="shared" si="16"/>
        <v>0.19999999999999973</v>
      </c>
      <c r="Q82" s="48">
        <f t="shared" si="17"/>
        <v>1.1666666666666665</v>
      </c>
    </row>
    <row r="83" spans="1:17" ht="15.75" x14ac:dyDescent="0.25">
      <c r="A83" s="80" t="s">
        <v>147</v>
      </c>
      <c r="B83" s="81" t="s">
        <v>148</v>
      </c>
      <c r="C83" s="25">
        <v>0.30000000000000004</v>
      </c>
      <c r="D83" s="25"/>
      <c r="E83" s="45">
        <f>0.1-0.1</f>
        <v>0</v>
      </c>
      <c r="F83" s="25">
        <v>0.1</v>
      </c>
      <c r="G83" s="46"/>
      <c r="H83" s="25"/>
      <c r="I83" s="45"/>
      <c r="J83" s="25">
        <v>0.2</v>
      </c>
      <c r="K83" s="46">
        <v>0</v>
      </c>
      <c r="L83" s="47">
        <f t="shared" si="26"/>
        <v>0.30000000000000004</v>
      </c>
      <c r="M83" s="47">
        <f t="shared" si="26"/>
        <v>0</v>
      </c>
      <c r="N83" s="17">
        <f t="shared" si="27"/>
        <v>-0.30000000000000004</v>
      </c>
      <c r="O83" s="48"/>
      <c r="P83" s="17">
        <f t="shared" si="16"/>
        <v>-0.30000000000000004</v>
      </c>
      <c r="Q83" s="48"/>
    </row>
    <row r="84" spans="1:17" ht="15.75" x14ac:dyDescent="0.25">
      <c r="A84" s="80" t="s">
        <v>149</v>
      </c>
      <c r="B84" s="81" t="s">
        <v>150</v>
      </c>
      <c r="C84" s="66">
        <v>2.8</v>
      </c>
      <c r="D84" s="25">
        <v>0.6</v>
      </c>
      <c r="E84" s="45">
        <v>0.6</v>
      </c>
      <c r="F84" s="25">
        <v>0.7</v>
      </c>
      <c r="G84" s="46">
        <v>0.6</v>
      </c>
      <c r="H84" s="25">
        <v>0.6</v>
      </c>
      <c r="I84" s="45">
        <v>0.6</v>
      </c>
      <c r="J84" s="25">
        <v>0.6</v>
      </c>
      <c r="K84" s="46">
        <v>0.6</v>
      </c>
      <c r="L84" s="47">
        <f t="shared" si="26"/>
        <v>2.5</v>
      </c>
      <c r="M84" s="68">
        <f t="shared" si="26"/>
        <v>2.4</v>
      </c>
      <c r="N84" s="17">
        <f t="shared" si="27"/>
        <v>-0.10000000000000009</v>
      </c>
      <c r="O84" s="48">
        <f t="shared" si="28"/>
        <v>0.96</v>
      </c>
      <c r="P84" s="17">
        <f t="shared" si="16"/>
        <v>-0.39999999999999991</v>
      </c>
      <c r="Q84" s="48">
        <f t="shared" si="17"/>
        <v>0.85714285714285721</v>
      </c>
    </row>
    <row r="85" spans="1:17" ht="15.75" x14ac:dyDescent="0.25">
      <c r="A85" s="9"/>
      <c r="B85" s="101"/>
      <c r="C85" s="50"/>
      <c r="D85" s="25"/>
      <c r="E85" s="51"/>
      <c r="F85" s="25"/>
      <c r="G85" s="46"/>
      <c r="H85" s="25"/>
      <c r="I85" s="52"/>
      <c r="J85" s="25"/>
      <c r="K85" s="46"/>
      <c r="L85" s="47"/>
      <c r="M85" s="53"/>
      <c r="N85" s="17"/>
      <c r="O85" s="48"/>
      <c r="P85" s="78"/>
      <c r="Q85" s="79"/>
    </row>
    <row r="86" spans="1:17" ht="15.75" x14ac:dyDescent="0.25">
      <c r="A86" s="33" t="s">
        <v>151</v>
      </c>
      <c r="B86" s="82" t="s">
        <v>152</v>
      </c>
      <c r="C86" s="25">
        <v>0.7</v>
      </c>
      <c r="D86" s="25">
        <v>0.3</v>
      </c>
      <c r="E86" s="45">
        <v>0.1</v>
      </c>
      <c r="F86" s="25">
        <v>0.3</v>
      </c>
      <c r="G86" s="46">
        <v>0.1</v>
      </c>
      <c r="H86" s="25">
        <v>0.3</v>
      </c>
      <c r="I86" s="45">
        <v>0.1</v>
      </c>
      <c r="J86" s="25">
        <v>0.3</v>
      </c>
      <c r="K86" s="46">
        <v>0.4</v>
      </c>
      <c r="L86" s="47">
        <f>D86+F86+H86+J86</f>
        <v>1.2</v>
      </c>
      <c r="M86" s="47">
        <f>E86+G86+I86+K86</f>
        <v>0.70000000000000007</v>
      </c>
      <c r="N86" s="78">
        <f>M86-L86</f>
        <v>-0.49999999999999989</v>
      </c>
      <c r="O86" s="79">
        <f>M86/L86</f>
        <v>0.58333333333333337</v>
      </c>
      <c r="P86" s="17">
        <f t="shared" si="16"/>
        <v>0</v>
      </c>
      <c r="Q86" s="48">
        <f t="shared" si="17"/>
        <v>1.0000000000000002</v>
      </c>
    </row>
    <row r="87" spans="1:17" ht="15.75" x14ac:dyDescent="0.25">
      <c r="A87" s="33" t="s">
        <v>153</v>
      </c>
      <c r="B87" s="82" t="s">
        <v>110</v>
      </c>
      <c r="C87" s="25">
        <v>1.3</v>
      </c>
      <c r="D87" s="25">
        <v>0.4</v>
      </c>
      <c r="E87" s="45">
        <f>0.5-E64</f>
        <v>0.3</v>
      </c>
      <c r="F87" s="25">
        <v>0.3</v>
      </c>
      <c r="G87" s="46">
        <v>0.2</v>
      </c>
      <c r="H87" s="25">
        <v>0.3</v>
      </c>
      <c r="I87" s="45">
        <v>0.3</v>
      </c>
      <c r="J87" s="25">
        <v>0.3</v>
      </c>
      <c r="K87" s="46">
        <v>0.3</v>
      </c>
      <c r="L87" s="47">
        <f t="shared" ref="L87:M95" si="29">D87+F87+H87+J87</f>
        <v>1.3</v>
      </c>
      <c r="M87" s="47">
        <f t="shared" si="29"/>
        <v>1.1000000000000001</v>
      </c>
      <c r="N87" s="78">
        <f t="shared" ref="N87:N98" si="30">M87-L87</f>
        <v>-0.19999999999999996</v>
      </c>
      <c r="O87" s="79">
        <f t="shared" ref="O87:O98" si="31">M87/L87</f>
        <v>0.84615384615384615</v>
      </c>
      <c r="P87" s="17">
        <f t="shared" si="16"/>
        <v>-0.19999999999999996</v>
      </c>
      <c r="Q87" s="48">
        <f t="shared" si="17"/>
        <v>0.84615384615384615</v>
      </c>
    </row>
    <row r="88" spans="1:17" ht="15.75" x14ac:dyDescent="0.25">
      <c r="A88" s="33" t="s">
        <v>154</v>
      </c>
      <c r="B88" s="82" t="s">
        <v>155</v>
      </c>
      <c r="C88" s="25">
        <v>5.2</v>
      </c>
      <c r="D88" s="25">
        <v>1.5</v>
      </c>
      <c r="E88" s="45">
        <v>1.6</v>
      </c>
      <c r="F88" s="25">
        <v>1.4</v>
      </c>
      <c r="G88" s="46">
        <v>1.2</v>
      </c>
      <c r="H88" s="25">
        <v>1.5</v>
      </c>
      <c r="I88" s="45">
        <v>0.8</v>
      </c>
      <c r="J88" s="25">
        <v>1.4</v>
      </c>
      <c r="K88" s="46">
        <v>1.2</v>
      </c>
      <c r="L88" s="47">
        <f t="shared" si="29"/>
        <v>5.8000000000000007</v>
      </c>
      <c r="M88" s="47">
        <f t="shared" si="29"/>
        <v>4.8</v>
      </c>
      <c r="N88" s="78">
        <f t="shared" si="30"/>
        <v>-1.0000000000000009</v>
      </c>
      <c r="O88" s="79">
        <f t="shared" si="31"/>
        <v>0.8275862068965516</v>
      </c>
      <c r="P88" s="17">
        <f t="shared" si="16"/>
        <v>-0.40000000000000036</v>
      </c>
      <c r="Q88" s="48">
        <f t="shared" si="17"/>
        <v>0.92307692307692302</v>
      </c>
    </row>
    <row r="89" spans="1:17" ht="15.75" x14ac:dyDescent="0.25">
      <c r="A89" s="33" t="s">
        <v>156</v>
      </c>
      <c r="B89" s="82" t="s">
        <v>157</v>
      </c>
      <c r="C89" s="25">
        <v>39.1</v>
      </c>
      <c r="D89" s="25">
        <v>12.7</v>
      </c>
      <c r="E89" s="67">
        <v>4.0999999999999996</v>
      </c>
      <c r="F89" s="25">
        <v>12.8</v>
      </c>
      <c r="G89" s="46">
        <v>6.2</v>
      </c>
      <c r="H89" s="25">
        <v>12.8</v>
      </c>
      <c r="I89" s="45">
        <v>5.3</v>
      </c>
      <c r="J89" s="25">
        <v>12.7</v>
      </c>
      <c r="K89" s="46">
        <f>6.9-0.6</f>
        <v>6.3000000000000007</v>
      </c>
      <c r="L89" s="47">
        <f t="shared" si="29"/>
        <v>51</v>
      </c>
      <c r="M89" s="47">
        <f t="shared" si="29"/>
        <v>21.900000000000002</v>
      </c>
      <c r="N89" s="78">
        <f t="shared" si="30"/>
        <v>-29.099999999999998</v>
      </c>
      <c r="O89" s="79">
        <f t="shared" si="31"/>
        <v>0.42941176470588238</v>
      </c>
      <c r="P89" s="17">
        <f t="shared" si="16"/>
        <v>-17.2</v>
      </c>
      <c r="Q89" s="48">
        <f t="shared" si="17"/>
        <v>0.56010230179028131</v>
      </c>
    </row>
    <row r="90" spans="1:17" ht="31.5" x14ac:dyDescent="0.25">
      <c r="A90" s="33" t="s">
        <v>158</v>
      </c>
      <c r="B90" s="93" t="s">
        <v>159</v>
      </c>
      <c r="C90" s="66">
        <v>11.3</v>
      </c>
      <c r="D90" s="25">
        <v>2.8</v>
      </c>
      <c r="E90" s="45">
        <v>3.2</v>
      </c>
      <c r="F90" s="25">
        <v>2.7</v>
      </c>
      <c r="G90" s="69">
        <v>3</v>
      </c>
      <c r="H90" s="25">
        <v>2.7</v>
      </c>
      <c r="I90" s="45">
        <v>2.8</v>
      </c>
      <c r="J90" s="25">
        <v>2.7</v>
      </c>
      <c r="K90" s="46">
        <v>3.2</v>
      </c>
      <c r="L90" s="47">
        <f t="shared" si="29"/>
        <v>10.899999999999999</v>
      </c>
      <c r="M90" s="68">
        <f t="shared" si="29"/>
        <v>12.2</v>
      </c>
      <c r="N90" s="78">
        <f t="shared" si="30"/>
        <v>1.3000000000000007</v>
      </c>
      <c r="O90" s="79">
        <f t="shared" si="31"/>
        <v>1.1192660550458717</v>
      </c>
      <c r="P90" s="17">
        <f t="shared" si="16"/>
        <v>0.89999999999999858</v>
      </c>
      <c r="Q90" s="48">
        <f t="shared" si="17"/>
        <v>1.0796460176991149</v>
      </c>
    </row>
    <row r="91" spans="1:17" ht="15.75" x14ac:dyDescent="0.25">
      <c r="A91" s="33" t="s">
        <v>160</v>
      </c>
      <c r="B91" s="93" t="s">
        <v>161</v>
      </c>
      <c r="C91" s="25">
        <v>6.7</v>
      </c>
      <c r="D91" s="25">
        <v>2.2000000000000002</v>
      </c>
      <c r="E91" s="45">
        <v>2</v>
      </c>
      <c r="F91" s="25">
        <v>2.2000000000000002</v>
      </c>
      <c r="G91" s="46">
        <v>1.2</v>
      </c>
      <c r="H91" s="25">
        <v>2.2000000000000002</v>
      </c>
      <c r="I91" s="45">
        <v>1.6</v>
      </c>
      <c r="J91" s="25">
        <v>2.2000000000000002</v>
      </c>
      <c r="K91" s="46">
        <v>5.8</v>
      </c>
      <c r="L91" s="47">
        <f t="shared" si="29"/>
        <v>8.8000000000000007</v>
      </c>
      <c r="M91" s="47">
        <f t="shared" si="29"/>
        <v>10.600000000000001</v>
      </c>
      <c r="N91" s="78">
        <f t="shared" si="30"/>
        <v>1.8000000000000007</v>
      </c>
      <c r="O91" s="79">
        <f t="shared" si="31"/>
        <v>1.2045454545454546</v>
      </c>
      <c r="P91" s="17">
        <f t="shared" si="16"/>
        <v>3.9000000000000012</v>
      </c>
      <c r="Q91" s="48">
        <f t="shared" si="17"/>
        <v>1.5820895522388061</v>
      </c>
    </row>
    <row r="92" spans="1:17" ht="15.75" x14ac:dyDescent="0.25">
      <c r="A92" s="33" t="s">
        <v>162</v>
      </c>
      <c r="B92" s="82" t="s">
        <v>163</v>
      </c>
      <c r="C92" s="25">
        <v>2.2000000000000002</v>
      </c>
      <c r="D92" s="25">
        <v>2.2000000000000002</v>
      </c>
      <c r="E92" s="45">
        <v>1.5</v>
      </c>
      <c r="F92" s="25">
        <v>2.2000000000000002</v>
      </c>
      <c r="G92" s="46">
        <v>1.5</v>
      </c>
      <c r="H92" s="25">
        <v>2.2000000000000002</v>
      </c>
      <c r="I92" s="45">
        <v>1.6</v>
      </c>
      <c r="J92" s="25">
        <v>2.2999999999999998</v>
      </c>
      <c r="K92" s="46">
        <v>1.6</v>
      </c>
      <c r="L92" s="47">
        <f t="shared" si="29"/>
        <v>8.9</v>
      </c>
      <c r="M92" s="68">
        <f t="shared" si="29"/>
        <v>6.1999999999999993</v>
      </c>
      <c r="N92" s="78">
        <f t="shared" si="30"/>
        <v>-2.7000000000000011</v>
      </c>
      <c r="O92" s="79">
        <f t="shared" si="31"/>
        <v>0.69662921348314599</v>
      </c>
      <c r="P92" s="17">
        <f t="shared" si="16"/>
        <v>3.9999999999999991</v>
      </c>
      <c r="Q92" s="48">
        <f t="shared" si="17"/>
        <v>2.8181818181818175</v>
      </c>
    </row>
    <row r="93" spans="1:17" ht="15.75" x14ac:dyDescent="0.25">
      <c r="A93" s="33" t="s">
        <v>164</v>
      </c>
      <c r="B93" s="82" t="s">
        <v>165</v>
      </c>
      <c r="C93" s="25">
        <v>0</v>
      </c>
      <c r="D93" s="25"/>
      <c r="E93" s="51"/>
      <c r="F93" s="25"/>
      <c r="G93" s="46"/>
      <c r="H93" s="25"/>
      <c r="I93" s="45">
        <v>3.6</v>
      </c>
      <c r="J93" s="25"/>
      <c r="K93" s="46">
        <v>0</v>
      </c>
      <c r="L93" s="47">
        <f t="shared" si="29"/>
        <v>0</v>
      </c>
      <c r="M93" s="47">
        <f t="shared" si="29"/>
        <v>3.6</v>
      </c>
      <c r="N93" s="78">
        <f t="shared" si="30"/>
        <v>3.6</v>
      </c>
      <c r="O93" s="79"/>
      <c r="P93" s="17">
        <f t="shared" si="16"/>
        <v>3.6</v>
      </c>
      <c r="Q93" s="48"/>
    </row>
    <row r="94" spans="1:17" ht="21" customHeight="1" x14ac:dyDescent="0.25">
      <c r="A94" s="33" t="s">
        <v>166</v>
      </c>
      <c r="B94" s="102" t="s">
        <v>167</v>
      </c>
      <c r="C94" s="50">
        <v>1.7</v>
      </c>
      <c r="D94" s="25"/>
      <c r="E94" s="51"/>
      <c r="F94" s="25"/>
      <c r="G94" s="46"/>
      <c r="H94" s="25"/>
      <c r="I94" s="52"/>
      <c r="J94" s="25">
        <v>1.8</v>
      </c>
      <c r="K94" s="46">
        <f>1.8-1.8</f>
        <v>0</v>
      </c>
      <c r="L94" s="47">
        <f t="shared" si="29"/>
        <v>1.8</v>
      </c>
      <c r="M94" s="53">
        <f t="shared" si="29"/>
        <v>0</v>
      </c>
      <c r="N94" s="78"/>
      <c r="O94" s="79"/>
      <c r="P94" s="17">
        <f t="shared" si="16"/>
        <v>-1.7</v>
      </c>
      <c r="Q94" s="48"/>
    </row>
    <row r="95" spans="1:17" ht="15.75" x14ac:dyDescent="0.25">
      <c r="A95" s="33" t="s">
        <v>168</v>
      </c>
      <c r="B95" s="103" t="s">
        <v>169</v>
      </c>
      <c r="C95" s="50">
        <v>1.4</v>
      </c>
      <c r="D95" s="25"/>
      <c r="E95" s="51"/>
      <c r="F95" s="25"/>
      <c r="G95" s="46"/>
      <c r="H95" s="25"/>
      <c r="I95" s="52"/>
      <c r="J95" s="25">
        <v>1.4</v>
      </c>
      <c r="K95" s="46">
        <f>1.4-1.4</f>
        <v>0</v>
      </c>
      <c r="L95" s="47">
        <f t="shared" si="29"/>
        <v>1.4</v>
      </c>
      <c r="M95" s="53">
        <f t="shared" si="29"/>
        <v>0</v>
      </c>
      <c r="N95" s="78"/>
      <c r="O95" s="79"/>
      <c r="P95" s="17">
        <f t="shared" si="16"/>
        <v>-1.4</v>
      </c>
      <c r="Q95" s="48"/>
    </row>
    <row r="96" spans="1:17" ht="15.75" x14ac:dyDescent="0.25">
      <c r="A96" s="33" t="s">
        <v>170</v>
      </c>
      <c r="B96" s="103" t="s">
        <v>171</v>
      </c>
      <c r="C96" s="25">
        <v>0.8</v>
      </c>
      <c r="D96" s="25"/>
      <c r="E96" s="51"/>
      <c r="F96" s="25"/>
      <c r="G96" s="46"/>
      <c r="H96" s="25"/>
      <c r="I96" s="45"/>
      <c r="J96" s="25"/>
      <c r="K96" s="46"/>
      <c r="L96" s="47">
        <f>D96+F96+H96+J96</f>
        <v>0</v>
      </c>
      <c r="M96" s="47">
        <f>E96+G96+I96+K96</f>
        <v>0</v>
      </c>
      <c r="N96" s="78"/>
      <c r="O96" s="79"/>
      <c r="P96" s="17">
        <f>M96-C96</f>
        <v>-0.8</v>
      </c>
      <c r="Q96" s="48"/>
    </row>
    <row r="97" spans="1:17" ht="15.75" x14ac:dyDescent="0.25">
      <c r="A97" s="33" t="s">
        <v>172</v>
      </c>
      <c r="B97" s="103" t="s">
        <v>173</v>
      </c>
      <c r="C97" s="25">
        <v>5.7</v>
      </c>
      <c r="D97" s="25">
        <v>2.5</v>
      </c>
      <c r="E97" s="45">
        <v>3.1</v>
      </c>
      <c r="F97" s="25">
        <v>2.5</v>
      </c>
      <c r="G97" s="46">
        <v>3.1</v>
      </c>
      <c r="H97" s="25">
        <v>2.5</v>
      </c>
      <c r="I97" s="67">
        <v>2.8</v>
      </c>
      <c r="J97" s="25">
        <v>2.4</v>
      </c>
      <c r="K97" s="46">
        <v>2.8</v>
      </c>
      <c r="L97" s="47">
        <f>D97+F97+H97+J97</f>
        <v>9.9</v>
      </c>
      <c r="M97" s="68">
        <f>E97+G97+I97+K97</f>
        <v>11.8</v>
      </c>
      <c r="N97" s="78">
        <f>M97-L97</f>
        <v>1.9000000000000004</v>
      </c>
      <c r="O97" s="79">
        <f>M97/L97</f>
        <v>1.191919191919192</v>
      </c>
      <c r="P97" s="17">
        <f>M97-C97</f>
        <v>6.1000000000000005</v>
      </c>
      <c r="Q97" s="48">
        <f>M97/C97</f>
        <v>2.0701754385964914</v>
      </c>
    </row>
    <row r="98" spans="1:17" ht="15.75" x14ac:dyDescent="0.25">
      <c r="A98" s="33" t="s">
        <v>174</v>
      </c>
      <c r="B98" s="82" t="s">
        <v>175</v>
      </c>
      <c r="C98" s="71">
        <v>90</v>
      </c>
      <c r="D98" s="71">
        <f>SUM(D99:D111)</f>
        <v>22.4</v>
      </c>
      <c r="E98" s="73">
        <f>SUM(E99:E111)</f>
        <v>19.700000000000003</v>
      </c>
      <c r="F98" s="71">
        <f>SUM(F99:F111)</f>
        <v>17.600000000000005</v>
      </c>
      <c r="G98" s="83">
        <f>SUM(G99:G111)</f>
        <v>15.599999999999998</v>
      </c>
      <c r="H98" s="71">
        <f t="shared" ref="H98:M98" si="32">SUM(H99:H111)</f>
        <v>14.999999999999998</v>
      </c>
      <c r="I98" s="73">
        <f t="shared" si="32"/>
        <v>13.9</v>
      </c>
      <c r="J98" s="71">
        <f t="shared" si="32"/>
        <v>19.5</v>
      </c>
      <c r="K98" s="83">
        <f t="shared" si="32"/>
        <v>23.200000000000003</v>
      </c>
      <c r="L98" s="77">
        <f t="shared" si="32"/>
        <v>74.5</v>
      </c>
      <c r="M98" s="77">
        <f t="shared" si="32"/>
        <v>72.400000000000006</v>
      </c>
      <c r="N98" s="78">
        <f t="shared" si="30"/>
        <v>-2.0999999999999943</v>
      </c>
      <c r="O98" s="79">
        <f t="shared" si="31"/>
        <v>0.97181208053691281</v>
      </c>
      <c r="P98" s="17">
        <f t="shared" si="16"/>
        <v>-17.599999999999994</v>
      </c>
      <c r="Q98" s="48">
        <f t="shared" si="17"/>
        <v>0.80444444444444452</v>
      </c>
    </row>
    <row r="99" spans="1:17" ht="15.75" x14ac:dyDescent="0.25">
      <c r="A99" s="80" t="s">
        <v>176</v>
      </c>
      <c r="B99" s="81" t="s">
        <v>177</v>
      </c>
      <c r="C99" s="25">
        <v>2.8</v>
      </c>
      <c r="D99" s="25">
        <v>0.7</v>
      </c>
      <c r="E99" s="45">
        <v>0.1</v>
      </c>
      <c r="F99" s="25">
        <v>0.7</v>
      </c>
      <c r="G99" s="69">
        <v>1</v>
      </c>
      <c r="H99" s="25">
        <v>0.6</v>
      </c>
      <c r="I99" s="45">
        <v>0.3</v>
      </c>
      <c r="J99" s="25">
        <v>0.7</v>
      </c>
      <c r="K99" s="46">
        <v>1.3</v>
      </c>
      <c r="L99" s="47">
        <f>D99+F99+H99+J99</f>
        <v>2.7</v>
      </c>
      <c r="M99" s="47">
        <f>E99+G99+I99+K99</f>
        <v>2.7</v>
      </c>
      <c r="N99" s="17">
        <f>M99-L99</f>
        <v>0</v>
      </c>
      <c r="O99" s="48">
        <f>M99/L99</f>
        <v>1</v>
      </c>
      <c r="P99" s="17">
        <f t="shared" si="16"/>
        <v>-9.9999999999999645E-2</v>
      </c>
      <c r="Q99" s="48">
        <f t="shared" si="17"/>
        <v>0.96428571428571441</v>
      </c>
    </row>
    <row r="100" spans="1:17" ht="15.75" x14ac:dyDescent="0.25">
      <c r="A100" s="80" t="s">
        <v>178</v>
      </c>
      <c r="B100" s="81" t="s">
        <v>122</v>
      </c>
      <c r="C100" s="25">
        <v>3.2</v>
      </c>
      <c r="D100" s="25">
        <v>0.9</v>
      </c>
      <c r="E100" s="45">
        <v>0.7</v>
      </c>
      <c r="F100" s="25">
        <v>1</v>
      </c>
      <c r="G100" s="69">
        <v>1.4</v>
      </c>
      <c r="H100" s="25">
        <v>0.9</v>
      </c>
      <c r="I100" s="67">
        <v>1</v>
      </c>
      <c r="J100" s="25">
        <v>0.9</v>
      </c>
      <c r="K100" s="46">
        <v>1.3</v>
      </c>
      <c r="L100" s="47">
        <f t="shared" ref="L100:M111" si="33">D100+F100+H100+J100</f>
        <v>3.6999999999999997</v>
      </c>
      <c r="M100" s="47">
        <f t="shared" si="33"/>
        <v>4.3999999999999995</v>
      </c>
      <c r="N100" s="17">
        <f t="shared" ref="N100:N110" si="34">M100-L100</f>
        <v>0.69999999999999973</v>
      </c>
      <c r="O100" s="48">
        <f t="shared" ref="O100:O110" si="35">M100/L100</f>
        <v>1.189189189189189</v>
      </c>
      <c r="P100" s="17">
        <f t="shared" si="16"/>
        <v>1.1999999999999993</v>
      </c>
      <c r="Q100" s="48">
        <f t="shared" si="17"/>
        <v>1.3749999999999998</v>
      </c>
    </row>
    <row r="101" spans="1:17" ht="15.75" x14ac:dyDescent="0.25">
      <c r="A101" s="80" t="s">
        <v>179</v>
      </c>
      <c r="B101" s="81" t="s">
        <v>180</v>
      </c>
      <c r="C101" s="25">
        <v>2.1999999999999997</v>
      </c>
      <c r="D101" s="25">
        <v>1.1000000000000001</v>
      </c>
      <c r="E101" s="67">
        <v>1</v>
      </c>
      <c r="F101" s="25">
        <v>0.5</v>
      </c>
      <c r="G101" s="46">
        <v>0.1</v>
      </c>
      <c r="H101" s="25">
        <v>1.3</v>
      </c>
      <c r="I101" s="45">
        <v>0.8</v>
      </c>
      <c r="J101" s="25">
        <v>0.7</v>
      </c>
      <c r="K101" s="46">
        <v>1.7</v>
      </c>
      <c r="L101" s="47">
        <f t="shared" si="33"/>
        <v>3.6000000000000005</v>
      </c>
      <c r="M101" s="47">
        <f t="shared" si="33"/>
        <v>3.6</v>
      </c>
      <c r="N101" s="17">
        <f t="shared" si="34"/>
        <v>0</v>
      </c>
      <c r="O101" s="48">
        <f t="shared" si="35"/>
        <v>0.99999999999999989</v>
      </c>
      <c r="P101" s="17">
        <f t="shared" si="16"/>
        <v>1.4000000000000004</v>
      </c>
      <c r="Q101" s="48">
        <f t="shared" si="17"/>
        <v>1.6363636363636367</v>
      </c>
    </row>
    <row r="102" spans="1:17" ht="15.75" x14ac:dyDescent="0.25">
      <c r="A102" s="80" t="s">
        <v>181</v>
      </c>
      <c r="B102" s="81" t="s">
        <v>182</v>
      </c>
      <c r="C102" s="66">
        <v>2.1</v>
      </c>
      <c r="D102" s="25"/>
      <c r="E102" s="51"/>
      <c r="F102" s="25">
        <v>1.3</v>
      </c>
      <c r="G102" s="46"/>
      <c r="H102" s="25"/>
      <c r="I102" s="45">
        <v>0.6</v>
      </c>
      <c r="J102" s="25">
        <v>1.4</v>
      </c>
      <c r="K102" s="46">
        <v>0.9</v>
      </c>
      <c r="L102" s="47">
        <f t="shared" si="33"/>
        <v>2.7</v>
      </c>
      <c r="M102" s="68">
        <f t="shared" si="33"/>
        <v>1.5</v>
      </c>
      <c r="N102" s="17">
        <f t="shared" si="34"/>
        <v>-1.2000000000000002</v>
      </c>
      <c r="O102" s="48"/>
      <c r="P102" s="17">
        <f t="shared" si="16"/>
        <v>-0.60000000000000009</v>
      </c>
      <c r="Q102" s="48"/>
    </row>
    <row r="103" spans="1:17" ht="15.75" x14ac:dyDescent="0.25">
      <c r="A103" s="80" t="s">
        <v>183</v>
      </c>
      <c r="B103" s="81" t="s">
        <v>184</v>
      </c>
      <c r="C103" s="25">
        <v>1.8</v>
      </c>
      <c r="D103" s="25">
        <v>0.4</v>
      </c>
      <c r="E103" s="45">
        <v>0.4</v>
      </c>
      <c r="F103" s="25">
        <v>0.5</v>
      </c>
      <c r="G103" s="46">
        <v>0.5</v>
      </c>
      <c r="H103" s="25">
        <v>0.4</v>
      </c>
      <c r="I103" s="45">
        <v>0.4</v>
      </c>
      <c r="J103" s="25">
        <v>0.5</v>
      </c>
      <c r="K103" s="46">
        <v>0.5</v>
      </c>
      <c r="L103" s="47">
        <f t="shared" si="33"/>
        <v>1.8</v>
      </c>
      <c r="M103" s="47">
        <f t="shared" si="33"/>
        <v>1.8</v>
      </c>
      <c r="N103" s="17">
        <f t="shared" si="34"/>
        <v>0</v>
      </c>
      <c r="O103" s="48">
        <f t="shared" si="35"/>
        <v>1</v>
      </c>
      <c r="P103" s="17">
        <f t="shared" si="16"/>
        <v>0</v>
      </c>
      <c r="Q103" s="48">
        <f t="shared" si="17"/>
        <v>1</v>
      </c>
    </row>
    <row r="104" spans="1:17" ht="15.75" x14ac:dyDescent="0.25">
      <c r="A104" s="80" t="s">
        <v>185</v>
      </c>
      <c r="B104" s="81" t="s">
        <v>186</v>
      </c>
      <c r="C104" s="66">
        <v>4.6999999999999993</v>
      </c>
      <c r="D104" s="25">
        <v>2.2999999999999998</v>
      </c>
      <c r="E104" s="45">
        <v>1.4</v>
      </c>
      <c r="F104" s="25"/>
      <c r="G104" s="69">
        <v>0.5</v>
      </c>
      <c r="H104" s="25">
        <v>2.5</v>
      </c>
      <c r="I104" s="104"/>
      <c r="J104" s="25"/>
      <c r="K104" s="46">
        <v>0.8</v>
      </c>
      <c r="L104" s="47">
        <f t="shared" si="33"/>
        <v>4.8</v>
      </c>
      <c r="M104" s="68">
        <f t="shared" si="33"/>
        <v>2.7</v>
      </c>
      <c r="N104" s="17">
        <f t="shared" si="34"/>
        <v>-2.0999999999999996</v>
      </c>
      <c r="O104" s="48">
        <f t="shared" si="35"/>
        <v>0.56250000000000011</v>
      </c>
      <c r="P104" s="17">
        <f t="shared" si="16"/>
        <v>-1.9999999999999991</v>
      </c>
      <c r="Q104" s="48">
        <f t="shared" si="17"/>
        <v>0.57446808510638314</v>
      </c>
    </row>
    <row r="105" spans="1:17" ht="15.75" x14ac:dyDescent="0.25">
      <c r="A105" s="80" t="s">
        <v>187</v>
      </c>
      <c r="B105" s="81" t="s">
        <v>188</v>
      </c>
      <c r="C105" s="66">
        <v>8.3999999999999986</v>
      </c>
      <c r="D105" s="25">
        <v>1.5</v>
      </c>
      <c r="E105" s="45">
        <v>2.2000000000000002</v>
      </c>
      <c r="F105" s="66">
        <v>3.3</v>
      </c>
      <c r="G105" s="46">
        <v>1.9</v>
      </c>
      <c r="H105" s="25">
        <v>2.4</v>
      </c>
      <c r="I105" s="45">
        <v>2.7</v>
      </c>
      <c r="J105" s="25">
        <v>1.4</v>
      </c>
      <c r="K105" s="46">
        <v>2.1</v>
      </c>
      <c r="L105" s="47">
        <f t="shared" si="33"/>
        <v>8.6</v>
      </c>
      <c r="M105" s="68">
        <f t="shared" si="33"/>
        <v>8.9</v>
      </c>
      <c r="N105" s="17">
        <f t="shared" si="34"/>
        <v>0.30000000000000071</v>
      </c>
      <c r="O105" s="48">
        <f t="shared" si="35"/>
        <v>1.0348837209302326</v>
      </c>
      <c r="P105" s="17">
        <f t="shared" si="16"/>
        <v>0.50000000000000178</v>
      </c>
      <c r="Q105" s="48">
        <f t="shared" si="17"/>
        <v>1.0595238095238098</v>
      </c>
    </row>
    <row r="106" spans="1:17" ht="24" customHeight="1" x14ac:dyDescent="0.25">
      <c r="A106" s="80" t="s">
        <v>189</v>
      </c>
      <c r="B106" s="81" t="s">
        <v>190</v>
      </c>
      <c r="C106" s="25">
        <v>31.299999999999997</v>
      </c>
      <c r="D106" s="66">
        <v>10</v>
      </c>
      <c r="E106" s="67">
        <v>8.6</v>
      </c>
      <c r="F106" s="25">
        <v>7</v>
      </c>
      <c r="G106" s="46">
        <v>6.8</v>
      </c>
      <c r="H106" s="25">
        <v>4.8</v>
      </c>
      <c r="I106" s="45">
        <v>5.5</v>
      </c>
      <c r="J106" s="25">
        <f>ROUND((321.9+383.8+376.6)*8.5/1000,1)</f>
        <v>9.1999999999999993</v>
      </c>
      <c r="K106" s="46">
        <v>9.6</v>
      </c>
      <c r="L106" s="47">
        <f t="shared" si="33"/>
        <v>31</v>
      </c>
      <c r="M106" s="47">
        <f t="shared" si="33"/>
        <v>30.5</v>
      </c>
      <c r="N106" s="17">
        <f t="shared" si="34"/>
        <v>-0.5</v>
      </c>
      <c r="O106" s="48">
        <f t="shared" si="35"/>
        <v>0.9838709677419355</v>
      </c>
      <c r="P106" s="17">
        <f t="shared" ref="P106:P151" si="36">M106-C106</f>
        <v>-0.79999999999999716</v>
      </c>
      <c r="Q106" s="48">
        <f t="shared" ref="Q106:Q147" si="37">M106/C106</f>
        <v>0.97444089456869021</v>
      </c>
    </row>
    <row r="107" spans="1:17" ht="15.75" x14ac:dyDescent="0.25">
      <c r="A107" s="80" t="s">
        <v>191</v>
      </c>
      <c r="B107" s="81" t="s">
        <v>192</v>
      </c>
      <c r="C107" s="25">
        <v>15.2</v>
      </c>
      <c r="D107" s="25">
        <v>5.2</v>
      </c>
      <c r="E107" s="45">
        <v>5.0999999999999996</v>
      </c>
      <c r="F107" s="25">
        <v>3.1</v>
      </c>
      <c r="G107" s="46">
        <v>3.2</v>
      </c>
      <c r="H107" s="66">
        <f>ROUND((76.9+73.8+74.9)*8.5/1000,1)</f>
        <v>1.9</v>
      </c>
      <c r="I107" s="45">
        <v>2.4</v>
      </c>
      <c r="J107" s="25">
        <v>4.5</v>
      </c>
      <c r="K107" s="46">
        <v>4.8</v>
      </c>
      <c r="L107" s="47">
        <f t="shared" si="33"/>
        <v>14.700000000000001</v>
      </c>
      <c r="M107" s="47">
        <f t="shared" si="33"/>
        <v>15.5</v>
      </c>
      <c r="N107" s="17">
        <f t="shared" si="34"/>
        <v>0.79999999999999893</v>
      </c>
      <c r="O107" s="48">
        <f t="shared" si="35"/>
        <v>1.0544217687074828</v>
      </c>
      <c r="P107" s="17">
        <f t="shared" si="36"/>
        <v>0.30000000000000071</v>
      </c>
      <c r="Q107" s="48">
        <f t="shared" si="37"/>
        <v>1.0197368421052633</v>
      </c>
    </row>
    <row r="108" spans="1:17" ht="15.75" x14ac:dyDescent="0.25">
      <c r="A108" s="80" t="s">
        <v>193</v>
      </c>
      <c r="B108" s="81" t="s">
        <v>194</v>
      </c>
      <c r="C108" s="25">
        <v>17.5</v>
      </c>
      <c r="D108" s="25"/>
      <c r="E108" s="45">
        <v>0</v>
      </c>
      <c r="F108" s="25"/>
      <c r="G108" s="46"/>
      <c r="H108" s="66"/>
      <c r="I108" s="45"/>
      <c r="J108" s="66"/>
      <c r="K108" s="69"/>
      <c r="L108" s="47">
        <f t="shared" si="33"/>
        <v>0</v>
      </c>
      <c r="M108" s="47">
        <f t="shared" si="33"/>
        <v>0</v>
      </c>
      <c r="N108" s="17">
        <f t="shared" si="34"/>
        <v>0</v>
      </c>
      <c r="O108" s="48"/>
      <c r="P108" s="17">
        <f t="shared" si="36"/>
        <v>-17.5</v>
      </c>
      <c r="Q108" s="48">
        <f t="shared" si="37"/>
        <v>0</v>
      </c>
    </row>
    <row r="109" spans="1:17" ht="15.75" x14ac:dyDescent="0.25">
      <c r="A109" s="80" t="s">
        <v>195</v>
      </c>
      <c r="B109" s="81" t="s">
        <v>196</v>
      </c>
      <c r="C109" s="25">
        <v>0.4</v>
      </c>
      <c r="D109" s="25">
        <v>0.1</v>
      </c>
      <c r="E109" s="45">
        <v>0.1</v>
      </c>
      <c r="F109" s="25">
        <v>0.1</v>
      </c>
      <c r="G109" s="46">
        <v>0.1</v>
      </c>
      <c r="H109" s="25">
        <v>0.1</v>
      </c>
      <c r="I109" s="45">
        <v>0.1</v>
      </c>
      <c r="J109" s="25">
        <v>0.1</v>
      </c>
      <c r="K109" s="46">
        <v>0.1</v>
      </c>
      <c r="L109" s="47">
        <f t="shared" si="33"/>
        <v>0.4</v>
      </c>
      <c r="M109" s="47">
        <f t="shared" si="33"/>
        <v>0.4</v>
      </c>
      <c r="N109" s="17">
        <f t="shared" si="34"/>
        <v>0</v>
      </c>
      <c r="O109" s="48">
        <f t="shared" si="35"/>
        <v>1</v>
      </c>
      <c r="P109" s="17">
        <f t="shared" si="36"/>
        <v>0</v>
      </c>
      <c r="Q109" s="48">
        <f t="shared" si="37"/>
        <v>1</v>
      </c>
    </row>
    <row r="110" spans="1:17" ht="15.75" x14ac:dyDescent="0.25">
      <c r="A110" s="80" t="s">
        <v>197</v>
      </c>
      <c r="B110" s="81" t="s">
        <v>198</v>
      </c>
      <c r="C110" s="25">
        <v>0.4</v>
      </c>
      <c r="D110" s="25">
        <v>0.2</v>
      </c>
      <c r="E110" s="45">
        <v>0.1</v>
      </c>
      <c r="F110" s="25">
        <v>0.1</v>
      </c>
      <c r="G110" s="46">
        <v>0.1</v>
      </c>
      <c r="H110" s="25">
        <v>0.1</v>
      </c>
      <c r="I110" s="45">
        <v>0.1</v>
      </c>
      <c r="J110" s="25">
        <v>0.1</v>
      </c>
      <c r="K110" s="46">
        <v>0.1</v>
      </c>
      <c r="L110" s="47">
        <f t="shared" si="33"/>
        <v>0.5</v>
      </c>
      <c r="M110" s="47">
        <f t="shared" si="33"/>
        <v>0.4</v>
      </c>
      <c r="N110" s="17">
        <f t="shared" si="34"/>
        <v>-9.9999999999999978E-2</v>
      </c>
      <c r="O110" s="48">
        <f t="shared" si="35"/>
        <v>0.8</v>
      </c>
      <c r="P110" s="17">
        <f t="shared" si="36"/>
        <v>0</v>
      </c>
      <c r="Q110" s="48">
        <f t="shared" si="37"/>
        <v>1</v>
      </c>
    </row>
    <row r="111" spans="1:17" ht="15.75" x14ac:dyDescent="0.25">
      <c r="A111" s="80" t="s">
        <v>199</v>
      </c>
      <c r="B111" s="81" t="s">
        <v>200</v>
      </c>
      <c r="C111" s="25">
        <v>0</v>
      </c>
      <c r="D111" s="66"/>
      <c r="E111" s="105"/>
      <c r="F111" s="66"/>
      <c r="G111" s="69"/>
      <c r="H111" s="66"/>
      <c r="I111" s="104"/>
      <c r="J111" s="66"/>
      <c r="K111" s="69"/>
      <c r="L111" s="47">
        <f t="shared" si="33"/>
        <v>0</v>
      </c>
      <c r="M111" s="47">
        <f t="shared" si="33"/>
        <v>0</v>
      </c>
      <c r="N111" s="17"/>
      <c r="O111" s="48"/>
      <c r="P111" s="78"/>
      <c r="Q111" s="79"/>
    </row>
    <row r="112" spans="1:17" ht="15.75" x14ac:dyDescent="0.25">
      <c r="A112" s="106" t="s">
        <v>201</v>
      </c>
      <c r="B112" s="82" t="s">
        <v>202</v>
      </c>
      <c r="C112" s="71">
        <v>165.3</v>
      </c>
      <c r="D112" s="71">
        <f>SUM(D113:D119)</f>
        <v>51.900000000000006</v>
      </c>
      <c r="E112" s="73">
        <f>SUM(E113:E119)</f>
        <v>43.7</v>
      </c>
      <c r="F112" s="71">
        <f>SUM(F113:F119)</f>
        <v>32.800000000000004</v>
      </c>
      <c r="G112" s="83">
        <f>SUM(G113:G119)</f>
        <v>43.9</v>
      </c>
      <c r="H112" s="71">
        <f t="shared" ref="H112:M112" si="38">SUM(H113:H119)</f>
        <v>27.5</v>
      </c>
      <c r="I112" s="73">
        <f t="shared" si="38"/>
        <v>37</v>
      </c>
      <c r="J112" s="71">
        <f t="shared" si="38"/>
        <v>44.400000000000006</v>
      </c>
      <c r="K112" s="83">
        <f t="shared" si="38"/>
        <v>41.1</v>
      </c>
      <c r="L112" s="77">
        <f t="shared" si="38"/>
        <v>156.6</v>
      </c>
      <c r="M112" s="77">
        <f t="shared" si="38"/>
        <v>165.70000000000002</v>
      </c>
      <c r="N112" s="78">
        <f>M112-L112</f>
        <v>9.1000000000000227</v>
      </c>
      <c r="O112" s="79">
        <f>M112/L112</f>
        <v>1.0581098339719031</v>
      </c>
      <c r="P112" s="17">
        <f t="shared" si="36"/>
        <v>0.40000000000000568</v>
      </c>
      <c r="Q112" s="48">
        <f t="shared" si="37"/>
        <v>1.0024198427102238</v>
      </c>
    </row>
    <row r="113" spans="1:17" ht="15.75" x14ac:dyDescent="0.25">
      <c r="A113" s="80" t="s">
        <v>203</v>
      </c>
      <c r="B113" s="81" t="s">
        <v>204</v>
      </c>
      <c r="C113" s="25">
        <v>0.7</v>
      </c>
      <c r="D113" s="25">
        <v>0.2</v>
      </c>
      <c r="E113" s="45">
        <v>0.2</v>
      </c>
      <c r="F113" s="25">
        <v>0.1</v>
      </c>
      <c r="G113" s="46">
        <v>0.1</v>
      </c>
      <c r="H113" s="25">
        <v>0.2</v>
      </c>
      <c r="I113" s="45">
        <v>0.2</v>
      </c>
      <c r="J113" s="25">
        <v>0.2</v>
      </c>
      <c r="K113" s="46">
        <v>0.2</v>
      </c>
      <c r="L113" s="47">
        <f>D113+F113+H113+J113</f>
        <v>0.7</v>
      </c>
      <c r="M113" s="47">
        <f>E113+G113+I113+K113</f>
        <v>0.7</v>
      </c>
      <c r="N113" s="17">
        <f t="shared" ref="N113:N119" si="39">M113-L113</f>
        <v>0</v>
      </c>
      <c r="O113" s="48">
        <f t="shared" ref="O113:O118" si="40">M113/L113</f>
        <v>1</v>
      </c>
      <c r="P113" s="17">
        <f t="shared" si="36"/>
        <v>0</v>
      </c>
      <c r="Q113" s="48">
        <f t="shared" si="37"/>
        <v>1</v>
      </c>
    </row>
    <row r="114" spans="1:17" ht="15.75" x14ac:dyDescent="0.25">
      <c r="A114" s="80" t="s">
        <v>205</v>
      </c>
      <c r="B114" s="81" t="s">
        <v>124</v>
      </c>
      <c r="C114" s="50"/>
      <c r="D114" s="25"/>
      <c r="E114" s="51"/>
      <c r="F114" s="25"/>
      <c r="G114" s="46"/>
      <c r="H114" s="25"/>
      <c r="I114" s="52"/>
      <c r="J114" s="25"/>
      <c r="K114" s="46"/>
      <c r="L114" s="47"/>
      <c r="M114" s="53"/>
      <c r="N114" s="17"/>
      <c r="O114" s="48"/>
      <c r="P114" s="17"/>
      <c r="Q114" s="48"/>
    </row>
    <row r="115" spans="1:17" ht="15.75" x14ac:dyDescent="0.25">
      <c r="A115" s="80" t="s">
        <v>206</v>
      </c>
      <c r="B115" s="81" t="s">
        <v>207</v>
      </c>
      <c r="C115" s="50"/>
      <c r="D115" s="25"/>
      <c r="E115" s="51"/>
      <c r="F115" s="25"/>
      <c r="G115" s="46"/>
      <c r="H115" s="25"/>
      <c r="I115" s="52"/>
      <c r="J115" s="25"/>
      <c r="K115" s="46"/>
      <c r="L115" s="47"/>
      <c r="M115" s="53"/>
      <c r="N115" s="17"/>
      <c r="O115" s="48"/>
      <c r="P115" s="17"/>
      <c r="Q115" s="48"/>
    </row>
    <row r="116" spans="1:17" ht="15.75" x14ac:dyDescent="0.25">
      <c r="A116" s="80" t="s">
        <v>208</v>
      </c>
      <c r="B116" s="81" t="s">
        <v>209</v>
      </c>
      <c r="C116" s="50"/>
      <c r="D116" s="25"/>
      <c r="E116" s="51"/>
      <c r="F116" s="25"/>
      <c r="G116" s="46"/>
      <c r="H116" s="25"/>
      <c r="I116" s="52"/>
      <c r="J116" s="25"/>
      <c r="K116" s="46"/>
      <c r="L116" s="47"/>
      <c r="M116" s="53"/>
      <c r="N116" s="17"/>
      <c r="O116" s="48"/>
      <c r="P116" s="17"/>
      <c r="Q116" s="48"/>
    </row>
    <row r="117" spans="1:17" ht="15.75" x14ac:dyDescent="0.25">
      <c r="A117" s="80" t="s">
        <v>210</v>
      </c>
      <c r="B117" s="81" t="s">
        <v>211</v>
      </c>
      <c r="C117" s="66">
        <v>29.2</v>
      </c>
      <c r="D117" s="25">
        <v>6.5</v>
      </c>
      <c r="E117" s="67">
        <v>0</v>
      </c>
      <c r="F117" s="25"/>
      <c r="G117" s="46"/>
      <c r="H117" s="25"/>
      <c r="I117" s="52"/>
      <c r="J117" s="25"/>
      <c r="K117" s="46"/>
      <c r="L117" s="47">
        <f t="shared" ref="L117:M119" si="41">D117+F117+H117+J117</f>
        <v>6.5</v>
      </c>
      <c r="M117" s="68">
        <f t="shared" si="41"/>
        <v>0</v>
      </c>
      <c r="N117" s="17">
        <f t="shared" si="39"/>
        <v>-6.5</v>
      </c>
      <c r="O117" s="48">
        <f t="shared" si="40"/>
        <v>0</v>
      </c>
      <c r="P117" s="17">
        <f t="shared" si="36"/>
        <v>-29.2</v>
      </c>
      <c r="Q117" s="48">
        <f t="shared" si="37"/>
        <v>0</v>
      </c>
    </row>
    <row r="118" spans="1:17" ht="15.75" customHeight="1" x14ac:dyDescent="0.25">
      <c r="A118" s="80" t="s">
        <v>212</v>
      </c>
      <c r="B118" s="81" t="s">
        <v>213</v>
      </c>
      <c r="C118" s="25">
        <v>135.4</v>
      </c>
      <c r="D118" s="25">
        <v>45.2</v>
      </c>
      <c r="E118" s="45">
        <v>43.5</v>
      </c>
      <c r="F118" s="66">
        <v>32.700000000000003</v>
      </c>
      <c r="G118" s="69">
        <v>35.9</v>
      </c>
      <c r="H118" s="66">
        <v>27.3</v>
      </c>
      <c r="I118" s="67">
        <v>30.4</v>
      </c>
      <c r="J118" s="25">
        <v>44.2</v>
      </c>
      <c r="K118" s="46">
        <v>40.9</v>
      </c>
      <c r="L118" s="47">
        <f t="shared" si="41"/>
        <v>149.4</v>
      </c>
      <c r="M118" s="47">
        <f t="shared" si="41"/>
        <v>150.70000000000002</v>
      </c>
      <c r="N118" s="17">
        <f t="shared" si="39"/>
        <v>1.3000000000000114</v>
      </c>
      <c r="O118" s="48">
        <f t="shared" si="40"/>
        <v>1.0087014725568944</v>
      </c>
      <c r="P118" s="17">
        <f t="shared" si="36"/>
        <v>15.300000000000011</v>
      </c>
      <c r="Q118" s="48">
        <f t="shared" si="37"/>
        <v>1.1129985228951256</v>
      </c>
    </row>
    <row r="119" spans="1:17" ht="33.75" customHeight="1" x14ac:dyDescent="0.25">
      <c r="A119" s="80" t="s">
        <v>214</v>
      </c>
      <c r="B119" s="81" t="s">
        <v>215</v>
      </c>
      <c r="C119" s="25">
        <v>0</v>
      </c>
      <c r="D119" s="25"/>
      <c r="E119" s="51"/>
      <c r="F119" s="25"/>
      <c r="G119" s="46">
        <v>7.9</v>
      </c>
      <c r="H119" s="25"/>
      <c r="I119" s="45">
        <v>6.4</v>
      </c>
      <c r="J119" s="25"/>
      <c r="K119" s="46"/>
      <c r="L119" s="47">
        <f t="shared" si="41"/>
        <v>0</v>
      </c>
      <c r="M119" s="47">
        <f t="shared" si="41"/>
        <v>14.3</v>
      </c>
      <c r="N119" s="17">
        <f t="shared" si="39"/>
        <v>14.3</v>
      </c>
      <c r="O119" s="48"/>
      <c r="P119" s="17"/>
      <c r="Q119" s="48"/>
    </row>
    <row r="120" spans="1:17" ht="15.75" x14ac:dyDescent="0.25">
      <c r="A120" s="33" t="s">
        <v>216</v>
      </c>
      <c r="B120" s="19" t="s">
        <v>217</v>
      </c>
      <c r="C120" s="71">
        <v>330.90000000000003</v>
      </c>
      <c r="D120" s="71">
        <f>SUM(D121:D126)</f>
        <v>30.1</v>
      </c>
      <c r="E120" s="73">
        <f>SUM(E121:E126)</f>
        <v>32.799999999999997</v>
      </c>
      <c r="F120" s="71">
        <f>SUM(F121:F126)</f>
        <v>16.400000000000002</v>
      </c>
      <c r="G120" s="83">
        <f>SUM(G121:G126)</f>
        <v>16.900000000000002</v>
      </c>
      <c r="H120" s="71">
        <f t="shared" ref="H120:M120" si="42">SUM(H121:H126)</f>
        <v>13.1</v>
      </c>
      <c r="I120" s="73">
        <f t="shared" si="42"/>
        <v>12.3</v>
      </c>
      <c r="J120" s="71">
        <f t="shared" si="42"/>
        <v>33.300000000000004</v>
      </c>
      <c r="K120" s="83">
        <f t="shared" si="42"/>
        <v>24.4</v>
      </c>
      <c r="L120" s="77">
        <f t="shared" si="42"/>
        <v>92.9</v>
      </c>
      <c r="M120" s="77">
        <f t="shared" si="42"/>
        <v>86.4</v>
      </c>
      <c r="N120" s="78">
        <f>M120-L120</f>
        <v>-6.5</v>
      </c>
      <c r="O120" s="79">
        <f>M120/L120</f>
        <v>0.93003229278794408</v>
      </c>
      <c r="P120" s="17">
        <f t="shared" si="36"/>
        <v>-244.50000000000003</v>
      </c>
      <c r="Q120" s="48">
        <f t="shared" si="37"/>
        <v>0.26110607434270172</v>
      </c>
    </row>
    <row r="121" spans="1:17" ht="15.75" x14ac:dyDescent="0.25">
      <c r="A121" s="80" t="s">
        <v>218</v>
      </c>
      <c r="B121" s="107" t="s">
        <v>219</v>
      </c>
      <c r="C121" s="25">
        <v>0</v>
      </c>
      <c r="D121" s="25"/>
      <c r="E121" s="51"/>
      <c r="F121" s="25"/>
      <c r="G121" s="46"/>
      <c r="H121" s="25"/>
      <c r="I121" s="45"/>
      <c r="J121" s="25"/>
      <c r="K121" s="46"/>
      <c r="L121" s="47"/>
      <c r="M121" s="47">
        <f>E121+G121+I121+K121</f>
        <v>0</v>
      </c>
      <c r="N121" s="78"/>
      <c r="O121" s="79"/>
      <c r="P121" s="17"/>
      <c r="Q121" s="48"/>
    </row>
    <row r="122" spans="1:17" ht="15.75" x14ac:dyDescent="0.25">
      <c r="A122" s="80" t="s">
        <v>220</v>
      </c>
      <c r="B122" s="107" t="s">
        <v>221</v>
      </c>
      <c r="C122" s="25">
        <v>22.599999999999998</v>
      </c>
      <c r="D122" s="25">
        <v>5.8</v>
      </c>
      <c r="E122" s="45">
        <v>6.5</v>
      </c>
      <c r="F122" s="25">
        <v>5.8</v>
      </c>
      <c r="G122" s="46">
        <v>6.4</v>
      </c>
      <c r="H122" s="25">
        <v>5.8</v>
      </c>
      <c r="I122" s="45">
        <v>6.5</v>
      </c>
      <c r="J122" s="25">
        <v>5.8</v>
      </c>
      <c r="K122" s="46">
        <v>6.4</v>
      </c>
      <c r="L122" s="47">
        <f>D122+F122+H122+J122</f>
        <v>23.2</v>
      </c>
      <c r="M122" s="68">
        <f>E122+G122+I122+K122</f>
        <v>25.799999999999997</v>
      </c>
      <c r="N122" s="17">
        <f>M122-L122</f>
        <v>2.5999999999999979</v>
      </c>
      <c r="O122" s="48">
        <f>M122/L122</f>
        <v>1.1120689655172413</v>
      </c>
      <c r="P122" s="17">
        <f t="shared" si="36"/>
        <v>3.1999999999999993</v>
      </c>
      <c r="Q122" s="48">
        <f t="shared" si="37"/>
        <v>1.1415929203539823</v>
      </c>
    </row>
    <row r="123" spans="1:17" ht="15.75" x14ac:dyDescent="0.25">
      <c r="A123" s="80" t="s">
        <v>222</v>
      </c>
      <c r="B123" s="107" t="s">
        <v>223</v>
      </c>
      <c r="C123" s="50"/>
      <c r="D123" s="25"/>
      <c r="E123" s="51"/>
      <c r="F123" s="25"/>
      <c r="G123" s="46"/>
      <c r="H123" s="25"/>
      <c r="I123" s="52"/>
      <c r="J123" s="25"/>
      <c r="K123" s="46"/>
      <c r="L123" s="47"/>
      <c r="M123" s="53"/>
      <c r="N123" s="17"/>
      <c r="O123" s="48"/>
      <c r="P123" s="17"/>
      <c r="Q123" s="48"/>
    </row>
    <row r="124" spans="1:17" ht="15.75" x14ac:dyDescent="0.25">
      <c r="A124" s="80" t="s">
        <v>224</v>
      </c>
      <c r="B124" s="101" t="s">
        <v>225</v>
      </c>
      <c r="C124" s="25">
        <v>63.4</v>
      </c>
      <c r="D124" s="25">
        <v>21.2</v>
      </c>
      <c r="E124" s="45">
        <v>23.4</v>
      </c>
      <c r="F124" s="25">
        <v>8.5</v>
      </c>
      <c r="G124" s="46">
        <v>8.3000000000000007</v>
      </c>
      <c r="H124" s="25">
        <v>5.7</v>
      </c>
      <c r="I124" s="45">
        <v>4</v>
      </c>
      <c r="J124" s="25">
        <v>24.6</v>
      </c>
      <c r="K124" s="46">
        <v>24.9</v>
      </c>
      <c r="L124" s="47">
        <f t="shared" ref="L124:M127" si="43">D124+F124+H124+J124</f>
        <v>60</v>
      </c>
      <c r="M124" s="47">
        <f t="shared" si="43"/>
        <v>60.6</v>
      </c>
      <c r="N124" s="17">
        <f>M124-L124</f>
        <v>0.60000000000000142</v>
      </c>
      <c r="O124" s="48">
        <f>M124/L124</f>
        <v>1.01</v>
      </c>
      <c r="P124" s="17">
        <f t="shared" si="36"/>
        <v>-2.7999999999999972</v>
      </c>
      <c r="Q124" s="48">
        <f t="shared" si="37"/>
        <v>0.95583596214511046</v>
      </c>
    </row>
    <row r="125" spans="1:17" ht="15.75" x14ac:dyDescent="0.25">
      <c r="A125" s="80" t="s">
        <v>226</v>
      </c>
      <c r="B125" s="108" t="s">
        <v>227</v>
      </c>
      <c r="C125" s="25">
        <v>221.8</v>
      </c>
      <c r="D125" s="25"/>
      <c r="E125" s="51"/>
      <c r="F125" s="25"/>
      <c r="G125" s="46"/>
      <c r="H125" s="25"/>
      <c r="I125" s="52"/>
      <c r="J125" s="25"/>
      <c r="K125" s="46"/>
      <c r="L125" s="47">
        <f t="shared" si="43"/>
        <v>0</v>
      </c>
      <c r="M125" s="47">
        <f t="shared" si="43"/>
        <v>0</v>
      </c>
      <c r="N125" s="17"/>
      <c r="O125" s="48"/>
      <c r="P125" s="17"/>
      <c r="Q125" s="48"/>
    </row>
    <row r="126" spans="1:17" ht="15.75" x14ac:dyDescent="0.25">
      <c r="A126" s="80" t="s">
        <v>228</v>
      </c>
      <c r="B126" s="109" t="s">
        <v>229</v>
      </c>
      <c r="C126" s="25">
        <v>23.099999999999998</v>
      </c>
      <c r="D126" s="25">
        <v>3.1</v>
      </c>
      <c r="E126" s="45">
        <v>2.9</v>
      </c>
      <c r="F126" s="25">
        <v>2.1</v>
      </c>
      <c r="G126" s="46">
        <v>2.2000000000000002</v>
      </c>
      <c r="H126" s="25">
        <v>1.6</v>
      </c>
      <c r="I126" s="45">
        <v>1.8</v>
      </c>
      <c r="J126" s="25">
        <v>2.9</v>
      </c>
      <c r="K126" s="46">
        <v>-6.9</v>
      </c>
      <c r="L126" s="47">
        <f t="shared" si="43"/>
        <v>9.7000000000000011</v>
      </c>
      <c r="M126" s="47">
        <f t="shared" si="43"/>
        <v>0</v>
      </c>
      <c r="N126" s="17"/>
      <c r="O126" s="48"/>
      <c r="P126" s="17"/>
      <c r="Q126" s="48"/>
    </row>
    <row r="127" spans="1:17" ht="15.75" customHeight="1" x14ac:dyDescent="0.25">
      <c r="A127" s="33" t="s">
        <v>230</v>
      </c>
      <c r="B127" s="82" t="s">
        <v>231</v>
      </c>
      <c r="C127" s="95">
        <v>1189.9000000000001</v>
      </c>
      <c r="D127" s="72">
        <f>274.7+0.3</f>
        <v>275</v>
      </c>
      <c r="E127" s="75">
        <f>277.5-E72</f>
        <v>277.39999999999998</v>
      </c>
      <c r="F127" s="71">
        <f>275.7+0.3</f>
        <v>276</v>
      </c>
      <c r="G127" s="83">
        <v>272.8</v>
      </c>
      <c r="H127" s="72">
        <f>277.3+0.3</f>
        <v>277.60000000000002</v>
      </c>
      <c r="I127" s="73">
        <v>272.89999999999998</v>
      </c>
      <c r="J127" s="72">
        <f>306.5+0.2</f>
        <v>306.7</v>
      </c>
      <c r="K127" s="83">
        <f>283+0.8</f>
        <v>283.8</v>
      </c>
      <c r="L127" s="47">
        <f t="shared" si="43"/>
        <v>1135.3</v>
      </c>
      <c r="M127" s="47">
        <f t="shared" si="43"/>
        <v>1106.9000000000001</v>
      </c>
      <c r="N127" s="78">
        <f>M127-L127</f>
        <v>-28.399999999999864</v>
      </c>
      <c r="O127" s="79">
        <f>M127/L127</f>
        <v>0.97498458557209555</v>
      </c>
      <c r="P127" s="17">
        <f t="shared" si="36"/>
        <v>-83</v>
      </c>
      <c r="Q127" s="48">
        <f t="shared" si="37"/>
        <v>0.93024623917976301</v>
      </c>
    </row>
    <row r="128" spans="1:17" ht="15.75" x14ac:dyDescent="0.25">
      <c r="A128" s="33" t="s">
        <v>232</v>
      </c>
      <c r="B128" s="82" t="s">
        <v>233</v>
      </c>
      <c r="C128" s="25">
        <v>14.2</v>
      </c>
      <c r="D128" s="71">
        <f>SUM(D129:D131)</f>
        <v>0</v>
      </c>
      <c r="E128" s="73">
        <f>SUM(E129:E131)</f>
        <v>0</v>
      </c>
      <c r="F128" s="72">
        <f>SUM(F129:F131)</f>
        <v>0</v>
      </c>
      <c r="G128" s="74">
        <f>SUM(G129:G131)</f>
        <v>0</v>
      </c>
      <c r="H128" s="72">
        <f t="shared" ref="H128:M128" si="44">SUM(H129:H131)</f>
        <v>0</v>
      </c>
      <c r="I128" s="75">
        <f t="shared" si="44"/>
        <v>0</v>
      </c>
      <c r="J128" s="72">
        <f t="shared" si="44"/>
        <v>0</v>
      </c>
      <c r="K128" s="74">
        <f t="shared" si="44"/>
        <v>0</v>
      </c>
      <c r="L128" s="47">
        <f t="shared" si="44"/>
        <v>0</v>
      </c>
      <c r="M128" s="47">
        <f t="shared" si="44"/>
        <v>0</v>
      </c>
      <c r="N128" s="78">
        <f>M128-L128</f>
        <v>0</v>
      </c>
      <c r="O128" s="79"/>
      <c r="P128" s="17">
        <f t="shared" si="36"/>
        <v>-14.2</v>
      </c>
      <c r="Q128" s="48">
        <f t="shared" si="37"/>
        <v>0</v>
      </c>
    </row>
    <row r="129" spans="1:17" ht="15.75" x14ac:dyDescent="0.25">
      <c r="A129" s="80" t="s">
        <v>234</v>
      </c>
      <c r="B129" s="81" t="s">
        <v>235</v>
      </c>
      <c r="C129" s="25">
        <v>14.2</v>
      </c>
      <c r="D129" s="66"/>
      <c r="E129" s="67"/>
      <c r="F129" s="66"/>
      <c r="G129" s="69"/>
      <c r="H129" s="25"/>
      <c r="I129" s="67"/>
      <c r="J129" s="66"/>
      <c r="K129" s="69"/>
      <c r="L129" s="47">
        <f>D129+F129+H129+J129</f>
        <v>0</v>
      </c>
      <c r="M129" s="47">
        <f>E129+G129+I129+K129</f>
        <v>0</v>
      </c>
      <c r="N129" s="17">
        <f>M129-L129</f>
        <v>0</v>
      </c>
      <c r="O129" s="48"/>
      <c r="P129" s="17">
        <f t="shared" si="36"/>
        <v>-14.2</v>
      </c>
      <c r="Q129" s="48">
        <f t="shared" si="37"/>
        <v>0</v>
      </c>
    </row>
    <row r="130" spans="1:17" ht="15.75" x14ac:dyDescent="0.25">
      <c r="A130" s="80" t="s">
        <v>236</v>
      </c>
      <c r="B130" s="81" t="s">
        <v>237</v>
      </c>
      <c r="C130" s="25"/>
      <c r="D130" s="25"/>
      <c r="E130" s="51"/>
      <c r="F130" s="25"/>
      <c r="G130" s="46"/>
      <c r="H130" s="25"/>
      <c r="I130" s="52"/>
      <c r="J130" s="25"/>
      <c r="K130" s="46"/>
      <c r="L130" s="47"/>
      <c r="M130" s="47"/>
      <c r="N130" s="17"/>
      <c r="O130" s="48"/>
      <c r="P130" s="17">
        <f t="shared" si="36"/>
        <v>0</v>
      </c>
      <c r="Q130" s="48"/>
    </row>
    <row r="131" spans="1:17" ht="15.75" x14ac:dyDescent="0.25">
      <c r="A131" s="80" t="s">
        <v>238</v>
      </c>
      <c r="B131" s="81" t="s">
        <v>128</v>
      </c>
      <c r="C131" s="25">
        <v>0</v>
      </c>
      <c r="D131" s="25"/>
      <c r="E131" s="51"/>
      <c r="F131" s="25">
        <f>4.9-4.9</f>
        <v>0</v>
      </c>
      <c r="G131" s="46"/>
      <c r="H131" s="25">
        <v>0</v>
      </c>
      <c r="I131" s="52"/>
      <c r="J131" s="25">
        <v>0</v>
      </c>
      <c r="K131" s="46">
        <v>0</v>
      </c>
      <c r="L131" s="47">
        <f>D131+F131+H131+J131</f>
        <v>0</v>
      </c>
      <c r="M131" s="47">
        <f>E131+G131+I131+K131</f>
        <v>0</v>
      </c>
      <c r="N131" s="17"/>
      <c r="O131" s="48"/>
      <c r="P131" s="78"/>
      <c r="Q131" s="79"/>
    </row>
    <row r="132" spans="1:17" ht="15.75" x14ac:dyDescent="0.25">
      <c r="A132" s="33" t="s">
        <v>239</v>
      </c>
      <c r="B132" s="82" t="s">
        <v>240</v>
      </c>
      <c r="C132" s="71">
        <v>1774.136</v>
      </c>
      <c r="D132" s="71">
        <f t="shared" ref="D132:M132" si="45">SUM(D133:D151)</f>
        <v>110.49999999999999</v>
      </c>
      <c r="E132" s="73">
        <f t="shared" si="45"/>
        <v>103.19999999999999</v>
      </c>
      <c r="F132" s="71">
        <f t="shared" si="45"/>
        <v>97.7</v>
      </c>
      <c r="G132" s="83">
        <f t="shared" si="45"/>
        <v>105.7</v>
      </c>
      <c r="H132" s="71">
        <f>SUM(H133:H151)</f>
        <v>91.800000000000011</v>
      </c>
      <c r="I132" s="73">
        <f t="shared" si="45"/>
        <v>93.100000000000009</v>
      </c>
      <c r="J132" s="71">
        <f>SUM(J133:J151)</f>
        <v>104.2</v>
      </c>
      <c r="K132" s="83">
        <f>SUM(K133:K151)</f>
        <v>407.1</v>
      </c>
      <c r="L132" s="77">
        <f t="shared" si="45"/>
        <v>404.2</v>
      </c>
      <c r="M132" s="77">
        <f t="shared" si="45"/>
        <v>709.1</v>
      </c>
      <c r="N132" s="78">
        <f t="shared" ref="N132:N144" si="46">M132-L132</f>
        <v>304.90000000000003</v>
      </c>
      <c r="O132" s="79">
        <f t="shared" ref="O132:O144" si="47">M132/L132</f>
        <v>1.7543295398317666</v>
      </c>
      <c r="P132" s="17">
        <f t="shared" si="36"/>
        <v>-1065.0360000000001</v>
      </c>
      <c r="Q132" s="48">
        <f t="shared" si="37"/>
        <v>0.39968750986395635</v>
      </c>
    </row>
    <row r="133" spans="1:17" ht="15.75" x14ac:dyDescent="0.25">
      <c r="A133" s="80" t="s">
        <v>241</v>
      </c>
      <c r="B133" s="81" t="s">
        <v>130</v>
      </c>
      <c r="C133" s="25">
        <v>10.5</v>
      </c>
      <c r="D133" s="25">
        <v>2.9</v>
      </c>
      <c r="E133" s="45">
        <v>2.7</v>
      </c>
      <c r="F133" s="25">
        <v>2.7</v>
      </c>
      <c r="G133" s="46">
        <v>2.9</v>
      </c>
      <c r="H133" s="25">
        <v>2.7</v>
      </c>
      <c r="I133" s="45">
        <v>3</v>
      </c>
      <c r="J133" s="25">
        <v>2.4</v>
      </c>
      <c r="K133" s="46">
        <v>3.8</v>
      </c>
      <c r="L133" s="47">
        <f>D133+F133+H133+J133</f>
        <v>10.700000000000001</v>
      </c>
      <c r="M133" s="47">
        <f>E133+G133+I133+K133</f>
        <v>12.399999999999999</v>
      </c>
      <c r="N133" s="17">
        <f t="shared" si="46"/>
        <v>1.6999999999999975</v>
      </c>
      <c r="O133" s="48">
        <f t="shared" si="47"/>
        <v>1.1588785046728969</v>
      </c>
      <c r="P133" s="17">
        <f t="shared" si="36"/>
        <v>1.8999999999999986</v>
      </c>
      <c r="Q133" s="48">
        <f t="shared" si="37"/>
        <v>1.1809523809523808</v>
      </c>
    </row>
    <row r="134" spans="1:17" ht="15.75" x14ac:dyDescent="0.25">
      <c r="A134" s="80" t="s">
        <v>242</v>
      </c>
      <c r="B134" s="81" t="s">
        <v>243</v>
      </c>
      <c r="C134" s="25">
        <v>92.8</v>
      </c>
      <c r="D134" s="25">
        <v>23.2</v>
      </c>
      <c r="E134" s="67">
        <v>23</v>
      </c>
      <c r="F134" s="25">
        <v>23.2</v>
      </c>
      <c r="G134" s="46">
        <v>23.3</v>
      </c>
      <c r="H134" s="25">
        <v>23.2</v>
      </c>
      <c r="I134" s="45">
        <v>23.5</v>
      </c>
      <c r="J134" s="25">
        <v>23.2</v>
      </c>
      <c r="K134" s="46">
        <v>23.4</v>
      </c>
      <c r="L134" s="47">
        <f t="shared" ref="L134:M151" si="48">D134+F134+H134+J134</f>
        <v>92.8</v>
      </c>
      <c r="M134" s="47">
        <f t="shared" si="48"/>
        <v>93.199999999999989</v>
      </c>
      <c r="N134" s="17">
        <f t="shared" si="46"/>
        <v>0.39999999999999147</v>
      </c>
      <c r="O134" s="48">
        <f t="shared" si="47"/>
        <v>1.0043103448275861</v>
      </c>
      <c r="P134" s="17">
        <f t="shared" si="36"/>
        <v>0.39999999999999147</v>
      </c>
      <c r="Q134" s="48">
        <f t="shared" si="37"/>
        <v>1.0043103448275861</v>
      </c>
    </row>
    <row r="135" spans="1:17" ht="15.75" x14ac:dyDescent="0.25">
      <c r="A135" s="80" t="s">
        <v>244</v>
      </c>
      <c r="B135" s="81" t="s">
        <v>245</v>
      </c>
      <c r="C135" s="25">
        <v>4.7</v>
      </c>
      <c r="D135" s="25">
        <v>1.3</v>
      </c>
      <c r="E135" s="45">
        <v>0.3</v>
      </c>
      <c r="F135" s="25">
        <v>2.9</v>
      </c>
      <c r="G135" s="46">
        <v>1.3</v>
      </c>
      <c r="H135" s="25">
        <v>5.0999999999999996</v>
      </c>
      <c r="I135" s="45">
        <v>1.1000000000000001</v>
      </c>
      <c r="J135" s="25">
        <v>3.8</v>
      </c>
      <c r="K135" s="46">
        <v>3.7</v>
      </c>
      <c r="L135" s="47">
        <f t="shared" si="48"/>
        <v>13.100000000000001</v>
      </c>
      <c r="M135" s="47">
        <f t="shared" si="48"/>
        <v>6.4</v>
      </c>
      <c r="N135" s="17">
        <f t="shared" si="46"/>
        <v>-6.7000000000000011</v>
      </c>
      <c r="O135" s="48">
        <f t="shared" si="47"/>
        <v>0.48854961832061067</v>
      </c>
      <c r="P135" s="17">
        <f t="shared" si="36"/>
        <v>1.7000000000000002</v>
      </c>
      <c r="Q135" s="48">
        <f t="shared" si="37"/>
        <v>1.3617021276595744</v>
      </c>
    </row>
    <row r="136" spans="1:17" ht="15.75" x14ac:dyDescent="0.25">
      <c r="A136" s="80" t="s">
        <v>246</v>
      </c>
      <c r="B136" s="81" t="s">
        <v>247</v>
      </c>
      <c r="C136" s="25">
        <v>0.4</v>
      </c>
      <c r="D136" s="25">
        <v>0.1</v>
      </c>
      <c r="E136" s="45">
        <v>0.1</v>
      </c>
      <c r="F136" s="25">
        <v>0.1</v>
      </c>
      <c r="G136" s="46">
        <v>0.1</v>
      </c>
      <c r="H136" s="25">
        <v>0.1</v>
      </c>
      <c r="I136" s="45">
        <v>0.1</v>
      </c>
      <c r="J136" s="25">
        <v>0.1</v>
      </c>
      <c r="K136" s="46">
        <v>0.1</v>
      </c>
      <c r="L136" s="47">
        <f t="shared" si="48"/>
        <v>0.4</v>
      </c>
      <c r="M136" s="47">
        <f t="shared" si="48"/>
        <v>0.4</v>
      </c>
      <c r="N136" s="17">
        <f t="shared" si="46"/>
        <v>0</v>
      </c>
      <c r="O136" s="48">
        <f t="shared" si="47"/>
        <v>1</v>
      </c>
      <c r="P136" s="17">
        <f t="shared" si="36"/>
        <v>0</v>
      </c>
      <c r="Q136" s="48">
        <f t="shared" si="37"/>
        <v>1</v>
      </c>
    </row>
    <row r="137" spans="1:17" ht="15.75" x14ac:dyDescent="0.25">
      <c r="A137" s="80" t="s">
        <v>248</v>
      </c>
      <c r="B137" s="81" t="s">
        <v>249</v>
      </c>
      <c r="C137" s="25">
        <v>0.60000000000000009</v>
      </c>
      <c r="D137" s="25">
        <v>0.2</v>
      </c>
      <c r="E137" s="45">
        <v>0.2</v>
      </c>
      <c r="F137" s="25">
        <v>0.1</v>
      </c>
      <c r="G137" s="46">
        <v>0.1</v>
      </c>
      <c r="H137" s="25">
        <v>0.1</v>
      </c>
      <c r="I137" s="45">
        <v>0.1</v>
      </c>
      <c r="J137" s="25">
        <v>0.2</v>
      </c>
      <c r="K137" s="46">
        <v>0.2</v>
      </c>
      <c r="L137" s="47">
        <f t="shared" si="48"/>
        <v>0.60000000000000009</v>
      </c>
      <c r="M137" s="47">
        <f t="shared" si="48"/>
        <v>0.60000000000000009</v>
      </c>
      <c r="N137" s="17">
        <f t="shared" si="46"/>
        <v>0</v>
      </c>
      <c r="O137" s="48">
        <f t="shared" si="47"/>
        <v>1</v>
      </c>
      <c r="P137" s="17">
        <f t="shared" si="36"/>
        <v>0</v>
      </c>
      <c r="Q137" s="48">
        <f t="shared" si="37"/>
        <v>1</v>
      </c>
    </row>
    <row r="138" spans="1:17" ht="15.75" x14ac:dyDescent="0.25">
      <c r="A138" s="80" t="s">
        <v>250</v>
      </c>
      <c r="B138" s="81" t="s">
        <v>134</v>
      </c>
      <c r="C138" s="25">
        <v>1</v>
      </c>
      <c r="D138" s="25">
        <f>0.4-0.1</f>
        <v>0.30000000000000004</v>
      </c>
      <c r="E138" s="45">
        <v>0.2</v>
      </c>
      <c r="F138" s="25">
        <f>0.4-0.1</f>
        <v>0.30000000000000004</v>
      </c>
      <c r="G138" s="46">
        <v>0.2</v>
      </c>
      <c r="H138" s="25">
        <f>0.4-0.1</f>
        <v>0.30000000000000004</v>
      </c>
      <c r="I138" s="45">
        <v>0.2</v>
      </c>
      <c r="J138" s="25">
        <v>0.3</v>
      </c>
      <c r="K138" s="46">
        <v>0.3</v>
      </c>
      <c r="L138" s="47">
        <f t="shared" si="48"/>
        <v>1.2000000000000002</v>
      </c>
      <c r="M138" s="47">
        <f t="shared" si="48"/>
        <v>0.90000000000000013</v>
      </c>
      <c r="N138" s="17">
        <f t="shared" si="46"/>
        <v>-0.30000000000000004</v>
      </c>
      <c r="O138" s="48">
        <f t="shared" si="47"/>
        <v>0.75</v>
      </c>
      <c r="P138" s="17">
        <f t="shared" si="36"/>
        <v>-9.9999999999999867E-2</v>
      </c>
      <c r="Q138" s="48">
        <f t="shared" si="37"/>
        <v>0.90000000000000013</v>
      </c>
    </row>
    <row r="139" spans="1:17" ht="15.75" x14ac:dyDescent="0.25">
      <c r="A139" s="80" t="s">
        <v>251</v>
      </c>
      <c r="B139" s="81" t="s">
        <v>136</v>
      </c>
      <c r="C139" s="25">
        <v>0</v>
      </c>
      <c r="D139" s="25">
        <v>0.2</v>
      </c>
      <c r="E139" s="45">
        <v>0</v>
      </c>
      <c r="F139" s="25">
        <v>0.1</v>
      </c>
      <c r="G139" s="46"/>
      <c r="H139" s="25">
        <v>0.1</v>
      </c>
      <c r="I139" s="45">
        <v>0</v>
      </c>
      <c r="J139" s="25">
        <v>0.1</v>
      </c>
      <c r="K139" s="46">
        <v>0</v>
      </c>
      <c r="L139" s="47">
        <f t="shared" si="48"/>
        <v>0.5</v>
      </c>
      <c r="M139" s="47">
        <f t="shared" si="48"/>
        <v>0</v>
      </c>
      <c r="N139" s="17">
        <f t="shared" si="46"/>
        <v>-0.5</v>
      </c>
      <c r="O139" s="48">
        <f t="shared" si="47"/>
        <v>0</v>
      </c>
      <c r="P139" s="17">
        <f t="shared" si="36"/>
        <v>0</v>
      </c>
      <c r="Q139" s="48"/>
    </row>
    <row r="140" spans="1:17" ht="15.75" x14ac:dyDescent="0.25">
      <c r="A140" s="80" t="s">
        <v>252</v>
      </c>
      <c r="B140" s="81" t="s">
        <v>138</v>
      </c>
      <c r="C140" s="25">
        <v>1.2</v>
      </c>
      <c r="D140" s="25">
        <v>0.3</v>
      </c>
      <c r="E140" s="51"/>
      <c r="F140" s="25">
        <v>0.3</v>
      </c>
      <c r="G140" s="46">
        <v>0.2</v>
      </c>
      <c r="H140" s="25">
        <v>0.3</v>
      </c>
      <c r="I140" s="45">
        <v>0</v>
      </c>
      <c r="J140" s="25">
        <v>0.3</v>
      </c>
      <c r="K140" s="46">
        <v>0.2</v>
      </c>
      <c r="L140" s="47">
        <f t="shared" si="48"/>
        <v>1.2</v>
      </c>
      <c r="M140" s="47">
        <f t="shared" si="48"/>
        <v>0.4</v>
      </c>
      <c r="N140" s="17">
        <f t="shared" si="46"/>
        <v>-0.79999999999999993</v>
      </c>
      <c r="O140" s="48">
        <f t="shared" si="47"/>
        <v>0.33333333333333337</v>
      </c>
      <c r="P140" s="17">
        <f t="shared" si="36"/>
        <v>-0.79999999999999993</v>
      </c>
      <c r="Q140" s="48"/>
    </row>
    <row r="141" spans="1:17" ht="15.75" x14ac:dyDescent="0.25">
      <c r="A141" s="80" t="s">
        <v>253</v>
      </c>
      <c r="B141" s="81" t="s">
        <v>140</v>
      </c>
      <c r="C141" s="25">
        <v>0.4</v>
      </c>
      <c r="D141" s="25">
        <v>0.2</v>
      </c>
      <c r="E141" s="45">
        <v>0.1</v>
      </c>
      <c r="F141" s="25">
        <v>0.1</v>
      </c>
      <c r="G141" s="46">
        <v>0.1</v>
      </c>
      <c r="H141" s="25">
        <v>0.1</v>
      </c>
      <c r="I141" s="45">
        <v>0.1</v>
      </c>
      <c r="J141" s="25">
        <v>0.1</v>
      </c>
      <c r="K141" s="46">
        <v>0.1</v>
      </c>
      <c r="L141" s="47">
        <f t="shared" si="48"/>
        <v>0.5</v>
      </c>
      <c r="M141" s="47">
        <f t="shared" si="48"/>
        <v>0.4</v>
      </c>
      <c r="N141" s="17">
        <f t="shared" si="46"/>
        <v>-9.9999999999999978E-2</v>
      </c>
      <c r="O141" s="48">
        <f t="shared" si="47"/>
        <v>0.8</v>
      </c>
      <c r="P141" s="17">
        <f t="shared" si="36"/>
        <v>0</v>
      </c>
      <c r="Q141" s="48">
        <f t="shared" si="37"/>
        <v>1</v>
      </c>
    </row>
    <row r="142" spans="1:17" ht="15.75" x14ac:dyDescent="0.25">
      <c r="A142" s="80" t="s">
        <v>254</v>
      </c>
      <c r="B142" s="81" t="s">
        <v>255</v>
      </c>
      <c r="C142" s="25">
        <v>38.799999999999997</v>
      </c>
      <c r="D142" s="25">
        <v>9.8000000000000007</v>
      </c>
      <c r="E142" s="45">
        <v>9.6999999999999993</v>
      </c>
      <c r="F142" s="25">
        <v>9.8000000000000007</v>
      </c>
      <c r="G142" s="46">
        <v>9.6999999999999993</v>
      </c>
      <c r="H142" s="25">
        <v>9.8000000000000007</v>
      </c>
      <c r="I142" s="45">
        <v>9.6999999999999993</v>
      </c>
      <c r="J142" s="25">
        <v>9.6999999999999993</v>
      </c>
      <c r="K142" s="46">
        <v>9.6999999999999993</v>
      </c>
      <c r="L142" s="47">
        <f t="shared" si="48"/>
        <v>39.1</v>
      </c>
      <c r="M142" s="47">
        <f t="shared" si="48"/>
        <v>38.799999999999997</v>
      </c>
      <c r="N142" s="17">
        <f t="shared" si="46"/>
        <v>-0.30000000000000426</v>
      </c>
      <c r="O142" s="48">
        <f t="shared" si="47"/>
        <v>0.99232736572890012</v>
      </c>
      <c r="P142" s="17">
        <f t="shared" si="36"/>
        <v>0</v>
      </c>
      <c r="Q142" s="48">
        <f t="shared" si="37"/>
        <v>1</v>
      </c>
    </row>
    <row r="143" spans="1:17" ht="15.75" x14ac:dyDescent="0.25">
      <c r="A143" s="80" t="s">
        <v>256</v>
      </c>
      <c r="B143" s="81" t="s">
        <v>146</v>
      </c>
      <c r="C143" s="25">
        <v>2.5</v>
      </c>
      <c r="D143" s="25">
        <v>0.4</v>
      </c>
      <c r="E143" s="45">
        <v>0.7</v>
      </c>
      <c r="F143" s="25">
        <v>0.5</v>
      </c>
      <c r="G143" s="46">
        <v>0.4</v>
      </c>
      <c r="H143" s="25">
        <v>0.7</v>
      </c>
      <c r="I143" s="45">
        <v>0.5</v>
      </c>
      <c r="J143" s="25">
        <v>0.5</v>
      </c>
      <c r="K143" s="46">
        <v>1.4</v>
      </c>
      <c r="L143" s="47">
        <f t="shared" si="48"/>
        <v>2.1</v>
      </c>
      <c r="M143" s="68">
        <f t="shared" si="48"/>
        <v>3</v>
      </c>
      <c r="N143" s="17">
        <f t="shared" si="46"/>
        <v>0.89999999999999991</v>
      </c>
      <c r="O143" s="48">
        <f t="shared" si="47"/>
        <v>1.4285714285714286</v>
      </c>
      <c r="P143" s="17">
        <f t="shared" si="36"/>
        <v>0.5</v>
      </c>
      <c r="Q143" s="48">
        <f t="shared" si="37"/>
        <v>1.2</v>
      </c>
    </row>
    <row r="144" spans="1:17" ht="15.75" x14ac:dyDescent="0.25">
      <c r="A144" s="80" t="s">
        <v>257</v>
      </c>
      <c r="B144" s="81" t="s">
        <v>258</v>
      </c>
      <c r="C144" s="25">
        <v>32.599999999999994</v>
      </c>
      <c r="D144" s="25">
        <v>8.1999999999999993</v>
      </c>
      <c r="E144" s="45">
        <v>8.1999999999999993</v>
      </c>
      <c r="F144" s="25">
        <v>8.1</v>
      </c>
      <c r="G144" s="46">
        <v>8.1</v>
      </c>
      <c r="H144" s="25">
        <v>8.1999999999999993</v>
      </c>
      <c r="I144" s="45">
        <v>8.1999999999999993</v>
      </c>
      <c r="J144" s="25">
        <v>8.1</v>
      </c>
      <c r="K144" s="46">
        <v>8.1</v>
      </c>
      <c r="L144" s="47">
        <f t="shared" si="48"/>
        <v>32.599999999999994</v>
      </c>
      <c r="M144" s="47">
        <f t="shared" si="48"/>
        <v>32.599999999999994</v>
      </c>
      <c r="N144" s="17">
        <f t="shared" si="46"/>
        <v>0</v>
      </c>
      <c r="O144" s="48">
        <f t="shared" si="47"/>
        <v>1</v>
      </c>
      <c r="P144" s="17">
        <f t="shared" si="36"/>
        <v>0</v>
      </c>
      <c r="Q144" s="48">
        <f t="shared" si="37"/>
        <v>1</v>
      </c>
    </row>
    <row r="145" spans="1:17" ht="15.75" x14ac:dyDescent="0.25">
      <c r="A145" s="80" t="s">
        <v>259</v>
      </c>
      <c r="B145" s="81" t="s">
        <v>260</v>
      </c>
      <c r="C145" s="25">
        <v>974.73599999999999</v>
      </c>
      <c r="D145" s="66"/>
      <c r="E145" s="105"/>
      <c r="F145" s="66"/>
      <c r="G145" s="69"/>
      <c r="H145" s="66"/>
      <c r="I145" s="104"/>
      <c r="J145" s="66"/>
      <c r="K145" s="69">
        <f>122.7+157.9</f>
        <v>280.60000000000002</v>
      </c>
      <c r="L145" s="47">
        <f t="shared" si="48"/>
        <v>0</v>
      </c>
      <c r="M145" s="47">
        <f t="shared" si="48"/>
        <v>280.60000000000002</v>
      </c>
      <c r="N145" s="17"/>
      <c r="O145" s="48"/>
      <c r="P145" s="17">
        <f t="shared" si="36"/>
        <v>-694.13599999999997</v>
      </c>
      <c r="Q145" s="48"/>
    </row>
    <row r="146" spans="1:17" ht="31.5" customHeight="1" x14ac:dyDescent="0.25">
      <c r="A146" s="80" t="s">
        <v>261</v>
      </c>
      <c r="B146" s="81" t="s">
        <v>262</v>
      </c>
      <c r="C146" s="66">
        <v>195.9</v>
      </c>
      <c r="D146" s="66">
        <f>51.6+10.7+0.4</f>
        <v>62.699999999999996</v>
      </c>
      <c r="E146" s="67">
        <v>56.9</v>
      </c>
      <c r="F146" s="66">
        <f>35.5+8.7+0.4</f>
        <v>44.6</v>
      </c>
      <c r="G146" s="69">
        <v>58.6</v>
      </c>
      <c r="H146" s="66">
        <f>31.1+8.7+0.3</f>
        <v>40.099999999999994</v>
      </c>
      <c r="I146" s="67">
        <v>44.9</v>
      </c>
      <c r="J146" s="66">
        <f>45.6+8.8+0.4</f>
        <v>54.800000000000004</v>
      </c>
      <c r="K146" s="69">
        <v>52</v>
      </c>
      <c r="L146" s="47">
        <f t="shared" si="48"/>
        <v>202.2</v>
      </c>
      <c r="M146" s="68">
        <f t="shared" si="48"/>
        <v>212.4</v>
      </c>
      <c r="N146" s="17">
        <f t="shared" ref="N146:N151" si="49">M146-L146</f>
        <v>10.200000000000017</v>
      </c>
      <c r="O146" s="48">
        <f t="shared" ref="O146:O152" si="50">M146/L146</f>
        <v>1.0504451038575668</v>
      </c>
      <c r="P146" s="17">
        <f t="shared" si="36"/>
        <v>16.5</v>
      </c>
      <c r="Q146" s="48">
        <f t="shared" si="37"/>
        <v>1.0842266462480858</v>
      </c>
    </row>
    <row r="147" spans="1:17" ht="15.75" x14ac:dyDescent="0.25">
      <c r="A147" s="80" t="s">
        <v>263</v>
      </c>
      <c r="B147" s="81" t="s">
        <v>264</v>
      </c>
      <c r="C147" s="25">
        <v>2</v>
      </c>
      <c r="D147" s="66">
        <v>0.5</v>
      </c>
      <c r="E147" s="67">
        <v>0</v>
      </c>
      <c r="F147" s="66">
        <v>0.5</v>
      </c>
      <c r="G147" s="69">
        <v>0</v>
      </c>
      <c r="H147" s="66">
        <v>0.5</v>
      </c>
      <c r="I147" s="67">
        <v>0</v>
      </c>
      <c r="J147" s="66">
        <v>0.5</v>
      </c>
      <c r="K147" s="69">
        <v>0</v>
      </c>
      <c r="L147" s="47">
        <f t="shared" si="48"/>
        <v>2</v>
      </c>
      <c r="M147" s="47">
        <f t="shared" si="48"/>
        <v>0</v>
      </c>
      <c r="N147" s="17">
        <f t="shared" si="49"/>
        <v>-2</v>
      </c>
      <c r="O147" s="48">
        <f t="shared" si="50"/>
        <v>0</v>
      </c>
      <c r="P147" s="17">
        <f t="shared" si="36"/>
        <v>-2</v>
      </c>
      <c r="Q147" s="48">
        <f t="shared" si="37"/>
        <v>0</v>
      </c>
    </row>
    <row r="148" spans="1:17" ht="15.75" x14ac:dyDescent="0.25">
      <c r="A148" s="80" t="s">
        <v>265</v>
      </c>
      <c r="B148" s="81" t="s">
        <v>266</v>
      </c>
      <c r="C148" s="25">
        <v>1.1000000000000001</v>
      </c>
      <c r="D148" s="25"/>
      <c r="E148" s="45">
        <v>0.6</v>
      </c>
      <c r="F148" s="25">
        <v>0.6</v>
      </c>
      <c r="G148" s="46">
        <v>0</v>
      </c>
      <c r="H148" s="25">
        <v>0.3</v>
      </c>
      <c r="I148" s="45">
        <v>0</v>
      </c>
      <c r="J148" s="25"/>
      <c r="K148" s="46">
        <v>0.6</v>
      </c>
      <c r="L148" s="47">
        <f t="shared" si="48"/>
        <v>0.89999999999999991</v>
      </c>
      <c r="M148" s="47">
        <f t="shared" si="48"/>
        <v>1.2</v>
      </c>
      <c r="N148" s="17"/>
      <c r="O148" s="48"/>
      <c r="P148" s="78"/>
      <c r="Q148" s="79"/>
    </row>
    <row r="149" spans="1:17" ht="31.5" x14ac:dyDescent="0.25">
      <c r="A149" s="80" t="s">
        <v>267</v>
      </c>
      <c r="B149" s="81" t="s">
        <v>268</v>
      </c>
      <c r="C149" s="66">
        <v>34</v>
      </c>
      <c r="D149" s="25"/>
      <c r="E149" s="45"/>
      <c r="F149" s="25">
        <v>3.6</v>
      </c>
      <c r="G149" s="46"/>
      <c r="H149" s="25"/>
      <c r="I149" s="52"/>
      <c r="J149" s="25"/>
      <c r="K149" s="46"/>
      <c r="L149" s="47">
        <f t="shared" si="48"/>
        <v>3.6</v>
      </c>
      <c r="M149" s="68">
        <f t="shared" si="48"/>
        <v>0</v>
      </c>
      <c r="N149" s="17">
        <f t="shared" si="49"/>
        <v>-3.6</v>
      </c>
      <c r="O149" s="48"/>
      <c r="P149" s="78">
        <f t="shared" si="36"/>
        <v>-34</v>
      </c>
      <c r="Q149" s="79"/>
    </row>
    <row r="150" spans="1:17" ht="15.75" customHeight="1" x14ac:dyDescent="0.25">
      <c r="A150" s="80" t="s">
        <v>269</v>
      </c>
      <c r="B150" s="81" t="s">
        <v>270</v>
      </c>
      <c r="C150" s="25">
        <v>0</v>
      </c>
      <c r="D150" s="25"/>
      <c r="E150" s="45"/>
      <c r="F150" s="25"/>
      <c r="G150" s="46"/>
      <c r="H150" s="25"/>
      <c r="I150" s="52"/>
      <c r="J150" s="25"/>
      <c r="K150" s="46"/>
      <c r="L150" s="47">
        <f t="shared" si="48"/>
        <v>0</v>
      </c>
      <c r="M150" s="47">
        <f t="shared" si="48"/>
        <v>0</v>
      </c>
      <c r="N150" s="17"/>
      <c r="O150" s="48"/>
      <c r="P150" s="78"/>
      <c r="Q150" s="79"/>
    </row>
    <row r="151" spans="1:17" ht="30" customHeight="1" x14ac:dyDescent="0.25">
      <c r="A151" s="80" t="s">
        <v>271</v>
      </c>
      <c r="B151" s="81" t="s">
        <v>272</v>
      </c>
      <c r="C151" s="25">
        <v>380.9</v>
      </c>
      <c r="D151" s="25">
        <v>0.2</v>
      </c>
      <c r="E151" s="45">
        <f>0.3+0.1+0.1</f>
        <v>0.5</v>
      </c>
      <c r="F151" s="25">
        <v>0.2</v>
      </c>
      <c r="G151" s="46">
        <v>0.7</v>
      </c>
      <c r="H151" s="25">
        <v>0.2</v>
      </c>
      <c r="I151" s="45">
        <f>1.8-0.2+0.1</f>
        <v>1.7000000000000002</v>
      </c>
      <c r="J151" s="25">
        <v>0.1</v>
      </c>
      <c r="K151" s="46">
        <f>20.3+0.6+2</f>
        <v>22.900000000000002</v>
      </c>
      <c r="L151" s="47">
        <f t="shared" si="48"/>
        <v>0.70000000000000007</v>
      </c>
      <c r="M151" s="47">
        <f t="shared" si="48"/>
        <v>25.800000000000004</v>
      </c>
      <c r="N151" s="17">
        <f t="shared" si="49"/>
        <v>25.100000000000005</v>
      </c>
      <c r="O151" s="48">
        <f t="shared" si="50"/>
        <v>36.857142857142861</v>
      </c>
      <c r="P151" s="17">
        <f t="shared" si="36"/>
        <v>-355.09999999999997</v>
      </c>
      <c r="Q151" s="48"/>
    </row>
    <row r="152" spans="1:17" ht="21.75" customHeight="1" x14ac:dyDescent="0.25">
      <c r="A152" s="58" t="s">
        <v>273</v>
      </c>
      <c r="B152" s="87" t="s">
        <v>274</v>
      </c>
      <c r="C152" s="83">
        <v>104.70299999999406</v>
      </c>
      <c r="D152" s="83">
        <f>D22-D40</f>
        <v>1018.5600000000022</v>
      </c>
      <c r="E152" s="73">
        <f t="shared" ref="E152:K152" si="51">E22-E40</f>
        <v>1480.2740000000022</v>
      </c>
      <c r="F152" s="83">
        <f t="shared" si="51"/>
        <v>-645.64999999999964</v>
      </c>
      <c r="G152" s="83">
        <f t="shared" si="51"/>
        <v>-760.93599999999924</v>
      </c>
      <c r="H152" s="83">
        <f t="shared" si="51"/>
        <v>-988.52999999999975</v>
      </c>
      <c r="I152" s="73">
        <f>I22-I40</f>
        <v>-915.52500000000146</v>
      </c>
      <c r="J152" s="83">
        <f t="shared" si="51"/>
        <v>763.96000000000186</v>
      </c>
      <c r="K152" s="83">
        <f t="shared" si="51"/>
        <v>520.97699999999895</v>
      </c>
      <c r="L152" s="83">
        <f>L22-L40</f>
        <v>148.33999999998923</v>
      </c>
      <c r="M152" s="83">
        <f>M22-M40</f>
        <v>324.7899999999936</v>
      </c>
      <c r="N152" s="110">
        <f>M152-L152</f>
        <v>176.45000000000437</v>
      </c>
      <c r="O152" s="48">
        <f t="shared" si="50"/>
        <v>2.1894971012539921</v>
      </c>
      <c r="P152" s="110">
        <f>M152-C152</f>
        <v>220.08699999999953</v>
      </c>
      <c r="Q152" s="79">
        <f>M152/C152</f>
        <v>3.1020123587672943</v>
      </c>
    </row>
    <row r="153" spans="1:17" ht="15.75" x14ac:dyDescent="0.25">
      <c r="A153" s="9"/>
      <c r="B153" s="19"/>
      <c r="C153" s="27"/>
      <c r="D153" s="9"/>
      <c r="E153" s="9"/>
      <c r="F153" s="111"/>
      <c r="G153" s="111"/>
      <c r="H153" s="111"/>
      <c r="I153" s="111"/>
      <c r="J153" s="111"/>
      <c r="K153" s="112"/>
      <c r="L153" s="111"/>
      <c r="M153" s="111"/>
      <c r="N153" s="9"/>
      <c r="O153" s="9"/>
    </row>
    <row r="154" spans="1:17" ht="18.75" x14ac:dyDescent="0.3">
      <c r="B154" s="113"/>
      <c r="C154" s="113"/>
      <c r="E154" s="114"/>
    </row>
    <row r="155" spans="1:17" ht="18.75" x14ac:dyDescent="0.3">
      <c r="B155" s="120" t="s">
        <v>275</v>
      </c>
      <c r="C155" s="120"/>
      <c r="H155" s="115"/>
      <c r="I155" s="115"/>
      <c r="L155" s="114"/>
      <c r="M155" s="114"/>
    </row>
    <row r="156" spans="1:17" x14ac:dyDescent="0.2">
      <c r="B156" s="121" t="s">
        <v>276</v>
      </c>
      <c r="C156" s="121"/>
      <c r="D156" s="121"/>
      <c r="E156" s="121"/>
      <c r="F156" s="121"/>
      <c r="G156" s="121"/>
      <c r="H156" s="121"/>
      <c r="I156" s="121"/>
    </row>
    <row r="157" spans="1:17" ht="18.75" x14ac:dyDescent="0.3">
      <c r="B157" s="116" t="s">
        <v>277</v>
      </c>
      <c r="C157" s="113"/>
    </row>
    <row r="158" spans="1:17" ht="15.75" x14ac:dyDescent="0.25">
      <c r="B158" s="117" t="s">
        <v>278</v>
      </c>
      <c r="C158" s="118"/>
    </row>
    <row r="159" spans="1:17" ht="15.75" x14ac:dyDescent="0.25">
      <c r="B159" s="119"/>
      <c r="C159" s="119"/>
    </row>
    <row r="160" spans="1:17" ht="15.75" x14ac:dyDescent="0.25">
      <c r="B160" s="119"/>
      <c r="C160" s="119"/>
    </row>
  </sheetData>
  <mergeCells count="16">
    <mergeCell ref="N1:O1"/>
    <mergeCell ref="B2:C2"/>
    <mergeCell ref="H3:J3"/>
    <mergeCell ref="A4:A5"/>
    <mergeCell ref="B4:B5"/>
    <mergeCell ref="C4:C5"/>
    <mergeCell ref="D4:K4"/>
    <mergeCell ref="L4:M5"/>
    <mergeCell ref="N4:O4"/>
    <mergeCell ref="P4:Q4"/>
    <mergeCell ref="D5:E5"/>
    <mergeCell ref="F5:G5"/>
    <mergeCell ref="H5:I5"/>
    <mergeCell ref="J5:K5"/>
    <mergeCell ref="B155:C155"/>
    <mergeCell ref="B156:I156"/>
  </mergeCells>
  <hyperlinks>
    <hyperlink ref="B158" r:id="rId1" xr:uid="{AA394322-E3C8-441F-B8CA-BEBA61B3EBE6}"/>
  </hyperlinks>
  <pageMargins left="0.74803149606299213" right="0.35433070866141736" top="0.78740157480314965" bottom="0.6692913385826772" header="0.31496062992125984" footer="0.31496062992125984"/>
  <pageSetup paperSize="8" orientation="landscape"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Piel.Nr.1 izpilde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Romualda Voitkevica</dc:creator>
  <cp:lastModifiedBy>Romualda Voitkevica</cp:lastModifiedBy>
  <dcterms:created xsi:type="dcterms:W3CDTF">2019-07-24T07:05:50Z</dcterms:created>
  <dcterms:modified xsi:type="dcterms:W3CDTF">2019-07-24T08:48:21Z</dcterms:modified>
</cp:coreProperties>
</file>